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C:\Users\SOLIDIPLAN-03\Desktop\RUA GERÔNIMO POLLY\4 - ORÇAMENTO\1 - ARQUIVO EXCEL\"/>
    </mc:Choice>
  </mc:AlternateContent>
  <xr:revisionPtr revIDLastSave="0" documentId="13_ncr:1_{97292CCF-DAD0-43B7-B488-BD95F1B60CE3}" xr6:coauthVersionLast="47" xr6:coauthVersionMax="47" xr10:uidLastSave="{00000000-0000-0000-0000-000000000000}"/>
  <bookViews>
    <workbookView xWindow="-120" yWindow="-120" windowWidth="29040" windowHeight="15840" tabRatio="658" firstSheet="4" activeTab="8" xr2:uid="{00000000-000D-0000-FFFF-FFFF00000000}"/>
  </bookViews>
  <sheets>
    <sheet name="Prazos e Áreas" sheetId="11" state="hidden" r:id="rId1"/>
    <sheet name="base" sheetId="10" state="hidden" r:id="rId2"/>
    <sheet name="base (2)" sheetId="13" state="hidden" r:id="rId3"/>
    <sheet name="Cronograma PAM" sheetId="14" state="hidden" r:id="rId4"/>
    <sheet name="Cronograma SFM" sheetId="12" r:id="rId5"/>
    <sheet name="BDI Pavimentação" sheetId="20" r:id="rId6"/>
    <sheet name="Grandes Itens" sheetId="7" r:id="rId7"/>
    <sheet name="ENSAIOS DE ORÇAMENTO" sheetId="17" state="hidden" r:id="rId8"/>
    <sheet name="orc SINAPI FEV 2022" sheetId="18" r:id="rId9"/>
  </sheets>
  <externalReferences>
    <externalReference r:id="rId10"/>
  </externalReferences>
  <definedNames>
    <definedName name="_xlnm._FilterDatabase" localSheetId="6" hidden="1">'Grandes Itens'!$A$4:$F$20</definedName>
    <definedName name="_xlnm._FilterDatabase" localSheetId="8" hidden="1">'orc SINAPI FEV 2022'!$A$17:$U$2673</definedName>
    <definedName name="_xlnm.Print_Area" localSheetId="1">base!$B$1:$P$13</definedName>
    <definedName name="_xlnm.Print_Area" localSheetId="2">'base (2)'!$B$1:$P$13</definedName>
    <definedName name="_xlnm.Print_Area" localSheetId="5">'BDI Pavimentação'!$A$1:$C$17</definedName>
    <definedName name="_xlnm.Print_Area" localSheetId="3">'Cronograma PAM'!$B$1:$T$55</definedName>
    <definedName name="_xlnm.Print_Area" localSheetId="4">'Cronograma SFM'!$B$1:$T$55</definedName>
    <definedName name="_xlnm.Print_Area" localSheetId="7">'ENSAIOS DE ORÇAMENTO'!#REF!</definedName>
    <definedName name="_xlnm.Print_Area" localSheetId="6">'Grandes Itens'!$A$1:$G$20</definedName>
    <definedName name="_xlnm.Print_Area" localSheetId="8">'orc SINAPI FEV 2022'!$B$1:$Q$2663</definedName>
    <definedName name="d" localSheetId="5">[1]proposta!#REF!</definedName>
    <definedName name="d">[1]proposta!#REF!</definedName>
    <definedName name="j" localSheetId="5">#REF!</definedName>
    <definedName name="j">#REF!</definedName>
    <definedName name="_xlnm.Print_Titles" localSheetId="7">'ENSAIOS DE ORÇAMENTO'!#REF!</definedName>
    <definedName name="_xlnm.Print_Titles" localSheetId="6">'Grandes Itens'!$4:$4</definedName>
    <definedName name="_xlnm.Print_Titles" localSheetId="8">'orc SINAPI FEV 2022'!$16:$17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2" i="12" l="1"/>
  <c r="S13" i="12"/>
  <c r="S14" i="12"/>
  <c r="S15" i="12"/>
  <c r="S16" i="12"/>
  <c r="S17" i="12"/>
  <c r="S18" i="12"/>
  <c r="S11" i="12"/>
  <c r="S10" i="12"/>
  <c r="F14" i="7"/>
  <c r="F11" i="7"/>
  <c r="F9" i="7"/>
  <c r="F8" i="7"/>
  <c r="F7" i="7"/>
  <c r="F6" i="7"/>
  <c r="P2666" i="18"/>
  <c r="P2661" i="18"/>
  <c r="P2657" i="18"/>
  <c r="P2656" i="18"/>
  <c r="Q1733" i="18"/>
  <c r="Q226" i="18"/>
  <c r="P230" i="18"/>
  <c r="P231" i="18"/>
  <c r="P234" i="18"/>
  <c r="P235" i="18"/>
  <c r="P406" i="18"/>
  <c r="P411" i="18"/>
  <c r="J2579" i="18" l="1"/>
  <c r="H91" i="18"/>
  <c r="J91" i="18" s="1"/>
  <c r="P91" i="18"/>
  <c r="M229" i="18"/>
  <c r="M231" i="18"/>
  <c r="M233" i="18"/>
  <c r="M235" i="18"/>
  <c r="M258" i="18"/>
  <c r="M263" i="18"/>
  <c r="M268" i="18"/>
  <c r="M273" i="18"/>
  <c r="M276" i="18"/>
  <c r="M279" i="18"/>
  <c r="M282" i="18"/>
  <c r="M285" i="18"/>
  <c r="M288" i="18"/>
  <c r="M291" i="18"/>
  <c r="M294" i="18"/>
  <c r="M297" i="18"/>
  <c r="M300" i="18"/>
  <c r="M303" i="18"/>
  <c r="M309" i="18"/>
  <c r="M315" i="18"/>
  <c r="M321" i="18"/>
  <c r="M327" i="18"/>
  <c r="M333" i="18"/>
  <c r="M339" i="18"/>
  <c r="M345" i="18"/>
  <c r="M351" i="18"/>
  <c r="M357" i="18"/>
  <c r="M363" i="18"/>
  <c r="M369" i="18"/>
  <c r="M375" i="18"/>
  <c r="M381" i="18"/>
  <c r="M387" i="18"/>
  <c r="M393" i="18"/>
  <c r="M399" i="18"/>
  <c r="M405" i="18"/>
  <c r="M411" i="18"/>
  <c r="M417" i="18"/>
  <c r="M423" i="18"/>
  <c r="M429" i="18"/>
  <c r="M435" i="18"/>
  <c r="M441" i="18"/>
  <c r="M447" i="18"/>
  <c r="M582" i="18"/>
  <c r="M584" i="18"/>
  <c r="M586" i="18"/>
  <c r="M588" i="18"/>
  <c r="M591" i="18"/>
  <c r="M597" i="18"/>
  <c r="M603" i="18"/>
  <c r="M609" i="18"/>
  <c r="M615" i="18"/>
  <c r="M621" i="18"/>
  <c r="M627" i="18"/>
  <c r="M633" i="18"/>
  <c r="M639" i="18"/>
  <c r="M645" i="18"/>
  <c r="M651" i="18"/>
  <c r="M657" i="18"/>
  <c r="M663" i="18"/>
  <c r="D2572" i="18"/>
  <c r="G2577" i="18" s="1"/>
  <c r="H2577" i="18" s="1"/>
  <c r="D2566" i="18"/>
  <c r="D2560" i="18"/>
  <c r="G2562" i="18" s="1"/>
  <c r="H2562" i="18" s="1"/>
  <c r="D2554" i="18"/>
  <c r="G2557" i="18" s="1"/>
  <c r="H2557" i="18" s="1"/>
  <c r="D2548" i="18"/>
  <c r="D2542" i="18"/>
  <c r="D2536" i="18"/>
  <c r="D2530" i="18"/>
  <c r="D2524" i="18"/>
  <c r="G2529" i="18" s="1"/>
  <c r="H2529" i="18" s="1"/>
  <c r="D2518" i="18"/>
  <c r="G2571" i="18"/>
  <c r="H2571" i="18" s="1"/>
  <c r="G2570" i="18"/>
  <c r="G2569" i="18"/>
  <c r="G2568" i="18"/>
  <c r="G2567" i="18"/>
  <c r="I2566" i="18"/>
  <c r="G2563" i="18"/>
  <c r="H2563" i="18" s="1"/>
  <c r="G2561" i="18"/>
  <c r="H2561" i="18" s="1"/>
  <c r="G2559" i="18"/>
  <c r="G2558" i="18"/>
  <c r="G2555" i="18"/>
  <c r="H2555" i="18" s="1"/>
  <c r="I2554" i="18"/>
  <c r="G2553" i="18"/>
  <c r="G2552" i="18"/>
  <c r="H2552" i="18" s="1"/>
  <c r="G2551" i="18"/>
  <c r="G2550" i="18"/>
  <c r="G2549" i="18"/>
  <c r="I2548" i="18"/>
  <c r="G2547" i="18"/>
  <c r="H2547" i="18" s="1"/>
  <c r="G2546" i="18"/>
  <c r="G2545" i="18"/>
  <c r="G2544" i="18"/>
  <c r="H2544" i="18" s="1"/>
  <c r="G2543" i="18"/>
  <c r="I2542" i="18"/>
  <c r="G2541" i="18"/>
  <c r="G2540" i="18"/>
  <c r="G2539" i="18"/>
  <c r="H2539" i="18" s="1"/>
  <c r="G2538" i="18"/>
  <c r="G2537" i="18"/>
  <c r="I2536" i="18"/>
  <c r="G2535" i="18"/>
  <c r="G2534" i="18"/>
  <c r="G2533" i="18"/>
  <c r="G2532" i="18"/>
  <c r="G2531" i="18"/>
  <c r="H2531" i="18" s="1"/>
  <c r="I2530" i="18"/>
  <c r="G2523" i="18"/>
  <c r="H2523" i="18" s="1"/>
  <c r="G2522" i="18"/>
  <c r="H2522" i="18" s="1"/>
  <c r="G2521" i="18"/>
  <c r="G2520" i="18"/>
  <c r="H2520" i="18" s="1"/>
  <c r="G2519" i="18"/>
  <c r="I2518" i="18"/>
  <c r="G2517" i="18"/>
  <c r="G2516" i="18"/>
  <c r="G2515" i="18"/>
  <c r="G2514" i="18"/>
  <c r="H2514" i="18" s="1"/>
  <c r="G2513" i="18"/>
  <c r="I2512" i="18"/>
  <c r="G2511" i="18"/>
  <c r="G2510" i="18"/>
  <c r="G2509" i="18"/>
  <c r="G2508" i="18"/>
  <c r="G2507" i="18"/>
  <c r="H2507" i="18" s="1"/>
  <c r="I2506" i="18"/>
  <c r="G2505" i="18"/>
  <c r="G2504" i="18"/>
  <c r="H2504" i="18" s="1"/>
  <c r="G2503" i="18"/>
  <c r="G2502" i="18"/>
  <c r="G2501" i="18"/>
  <c r="I2500" i="18"/>
  <c r="G2499" i="18"/>
  <c r="H2499" i="18" s="1"/>
  <c r="G2498" i="18"/>
  <c r="H2498" i="18" s="1"/>
  <c r="G2497" i="18"/>
  <c r="G2496" i="18"/>
  <c r="G2495" i="18"/>
  <c r="I2494" i="18"/>
  <c r="G2493" i="18"/>
  <c r="G2492" i="18"/>
  <c r="G2491" i="18"/>
  <c r="H2491" i="18" s="1"/>
  <c r="G2490" i="18"/>
  <c r="H2490" i="18" s="1"/>
  <c r="G2489" i="18"/>
  <c r="I2488" i="18"/>
  <c r="G2487" i="18"/>
  <c r="G2486" i="18"/>
  <c r="G2485" i="18"/>
  <c r="G2484" i="18"/>
  <c r="G2483" i="18"/>
  <c r="H2483" i="18" s="1"/>
  <c r="I2482" i="18"/>
  <c r="G2481" i="18"/>
  <c r="G2480" i="18"/>
  <c r="G2479" i="18"/>
  <c r="G2478" i="18"/>
  <c r="G2477" i="18"/>
  <c r="I2476" i="18"/>
  <c r="G2475" i="18"/>
  <c r="H2475" i="18" s="1"/>
  <c r="G2474" i="18"/>
  <c r="H2474" i="18" s="1"/>
  <c r="G2473" i="18"/>
  <c r="H2473" i="18" s="1"/>
  <c r="G2472" i="18"/>
  <c r="H2472" i="18" s="1"/>
  <c r="G2471" i="18"/>
  <c r="I2470" i="18"/>
  <c r="G2469" i="18"/>
  <c r="G2468" i="18"/>
  <c r="H2468" i="18" s="1"/>
  <c r="G2467" i="18"/>
  <c r="H2467" i="18" s="1"/>
  <c r="G2466" i="18"/>
  <c r="H2466" i="18" s="1"/>
  <c r="G2465" i="18"/>
  <c r="I2464" i="18"/>
  <c r="G2463" i="18"/>
  <c r="G2462" i="18"/>
  <c r="G2461" i="18"/>
  <c r="G2460" i="18"/>
  <c r="G2459" i="18"/>
  <c r="H2459" i="18" s="1"/>
  <c r="I2458" i="18"/>
  <c r="G2457" i="18"/>
  <c r="H2457" i="18" s="1"/>
  <c r="G2456" i="18"/>
  <c r="H2456" i="18" s="1"/>
  <c r="G2455" i="18"/>
  <c r="G2454" i="18"/>
  <c r="G2453" i="18"/>
  <c r="I2452" i="18"/>
  <c r="G2451" i="18"/>
  <c r="H2451" i="18" s="1"/>
  <c r="G2450" i="18"/>
  <c r="H2450" i="18" s="1"/>
  <c r="G2449" i="18"/>
  <c r="G2448" i="18"/>
  <c r="G2447" i="18"/>
  <c r="I2446" i="18"/>
  <c r="G2445" i="18"/>
  <c r="G2444" i="18"/>
  <c r="G2443" i="18"/>
  <c r="H2443" i="18" s="1"/>
  <c r="G2442" i="18"/>
  <c r="H2442" i="18" s="1"/>
  <c r="G2441" i="18"/>
  <c r="H2441" i="18" s="1"/>
  <c r="I2440" i="18"/>
  <c r="G2439" i="18"/>
  <c r="G2438" i="18"/>
  <c r="G2437" i="18"/>
  <c r="G2436" i="18"/>
  <c r="H2436" i="18" s="1"/>
  <c r="G2435" i="18"/>
  <c r="H2435" i="18" s="1"/>
  <c r="I2434" i="18"/>
  <c r="G2433" i="18"/>
  <c r="G2432" i="18"/>
  <c r="G2431" i="18"/>
  <c r="G2430" i="18"/>
  <c r="G2429" i="18"/>
  <c r="I2428" i="18"/>
  <c r="G2427" i="18"/>
  <c r="G2426" i="18"/>
  <c r="H2426" i="18" s="1"/>
  <c r="G2425" i="18"/>
  <c r="H2425" i="18" s="1"/>
  <c r="G2424" i="18"/>
  <c r="H2424" i="18" s="1"/>
  <c r="G2423" i="18"/>
  <c r="I2422" i="18"/>
  <c r="G2421" i="18"/>
  <c r="G2420" i="18"/>
  <c r="H2420" i="18" s="1"/>
  <c r="G2419" i="18"/>
  <c r="H2419" i="18" s="1"/>
  <c r="G2418" i="18"/>
  <c r="H2418" i="18" s="1"/>
  <c r="G2417" i="18"/>
  <c r="I2416" i="18"/>
  <c r="G2415" i="18"/>
  <c r="G2414" i="18"/>
  <c r="G2413" i="18"/>
  <c r="G2412" i="18"/>
  <c r="G2411" i="18"/>
  <c r="H2411" i="18" s="1"/>
  <c r="I2410" i="18"/>
  <c r="G2409" i="18"/>
  <c r="H2409" i="18" s="1"/>
  <c r="G2408" i="18"/>
  <c r="H2408" i="18" s="1"/>
  <c r="G2407" i="18"/>
  <c r="G2406" i="18"/>
  <c r="G2405" i="18"/>
  <c r="I2404" i="18"/>
  <c r="G2403" i="18"/>
  <c r="H2403" i="18" s="1"/>
  <c r="G2402" i="18"/>
  <c r="H2402" i="18" s="1"/>
  <c r="G2401" i="18"/>
  <c r="G2400" i="18"/>
  <c r="G2399" i="18"/>
  <c r="I2398" i="18"/>
  <c r="G2397" i="18"/>
  <c r="G2396" i="18"/>
  <c r="G2395" i="18"/>
  <c r="H2395" i="18" s="1"/>
  <c r="G2394" i="18"/>
  <c r="H2394" i="18" s="1"/>
  <c r="G2393" i="18"/>
  <c r="H2393" i="18" s="1"/>
  <c r="I2392" i="18"/>
  <c r="G2391" i="18"/>
  <c r="G2390" i="18"/>
  <c r="G2389" i="18"/>
  <c r="G2388" i="18"/>
  <c r="H2388" i="18" s="1"/>
  <c r="G2387" i="18"/>
  <c r="H2387" i="18" s="1"/>
  <c r="I2386" i="18"/>
  <c r="G2385" i="18"/>
  <c r="G2384" i="18"/>
  <c r="G2383" i="18"/>
  <c r="G2382" i="18"/>
  <c r="G2381" i="18"/>
  <c r="I2380" i="18"/>
  <c r="G2379" i="18"/>
  <c r="H2379" i="18" s="1"/>
  <c r="G2378" i="18"/>
  <c r="H2378" i="18" s="1"/>
  <c r="G2377" i="18"/>
  <c r="G2376" i="18"/>
  <c r="H2376" i="18" s="1"/>
  <c r="G2375" i="18"/>
  <c r="I2374" i="18"/>
  <c r="G2373" i="18"/>
  <c r="G2372" i="18"/>
  <c r="G2371" i="18"/>
  <c r="H2371" i="18" s="1"/>
  <c r="G2370" i="18"/>
  <c r="H2370" i="18" s="1"/>
  <c r="G2369" i="18"/>
  <c r="I2368" i="18"/>
  <c r="G2367" i="18"/>
  <c r="G2366" i="18"/>
  <c r="G2365" i="18"/>
  <c r="G2364" i="18"/>
  <c r="G2363" i="18"/>
  <c r="I2362" i="18"/>
  <c r="G2361" i="18"/>
  <c r="G2360" i="18"/>
  <c r="H2360" i="18" s="1"/>
  <c r="G2359" i="18"/>
  <c r="G2358" i="18"/>
  <c r="G2357" i="18"/>
  <c r="I2356" i="18"/>
  <c r="G2355" i="18"/>
  <c r="H2355" i="18" s="1"/>
  <c r="G2354" i="18"/>
  <c r="H2354" i="18" s="1"/>
  <c r="G2353" i="18"/>
  <c r="G2352" i="18"/>
  <c r="G2351" i="18"/>
  <c r="I2350" i="18"/>
  <c r="G2349" i="18"/>
  <c r="G2348" i="18"/>
  <c r="G2347" i="18"/>
  <c r="H2347" i="18" s="1"/>
  <c r="G2346" i="18"/>
  <c r="H2346" i="18" s="1"/>
  <c r="G2345" i="18"/>
  <c r="I2344" i="18"/>
  <c r="G2343" i="18"/>
  <c r="G2342" i="18"/>
  <c r="G2341" i="18"/>
  <c r="G2340" i="18"/>
  <c r="G2339" i="18"/>
  <c r="H2339" i="18" s="1"/>
  <c r="I2338" i="18"/>
  <c r="G2337" i="18"/>
  <c r="G2336" i="18"/>
  <c r="G2335" i="18"/>
  <c r="G2334" i="18"/>
  <c r="G2333" i="18"/>
  <c r="I2332" i="18"/>
  <c r="G2331" i="18"/>
  <c r="H2331" i="18" s="1"/>
  <c r="G2330" i="18"/>
  <c r="H2330" i="18" s="1"/>
  <c r="G2329" i="18"/>
  <c r="G2328" i="18"/>
  <c r="H2328" i="18" s="1"/>
  <c r="G2327" i="18"/>
  <c r="I2326" i="18"/>
  <c r="G2325" i="18"/>
  <c r="G2324" i="18"/>
  <c r="G2323" i="18"/>
  <c r="H2323" i="18" s="1"/>
  <c r="G2322" i="18"/>
  <c r="H2322" i="18" s="1"/>
  <c r="G2321" i="18"/>
  <c r="I2320" i="18"/>
  <c r="G2319" i="18"/>
  <c r="G2318" i="18"/>
  <c r="G2317" i="18"/>
  <c r="G2316" i="18"/>
  <c r="G2315" i="18"/>
  <c r="H2315" i="18" s="1"/>
  <c r="I2314" i="18"/>
  <c r="G2313" i="18"/>
  <c r="G2312" i="18"/>
  <c r="H2312" i="18" s="1"/>
  <c r="G2311" i="18"/>
  <c r="G2310" i="18"/>
  <c r="G2309" i="18"/>
  <c r="I2308" i="18"/>
  <c r="G2307" i="18"/>
  <c r="H2307" i="18" s="1"/>
  <c r="G2306" i="18"/>
  <c r="H2306" i="18" s="1"/>
  <c r="G2305" i="18"/>
  <c r="G2304" i="18"/>
  <c r="G2303" i="18"/>
  <c r="I2302" i="18"/>
  <c r="G2301" i="18"/>
  <c r="G2300" i="18"/>
  <c r="G2299" i="18"/>
  <c r="G2298" i="18"/>
  <c r="H2298" i="18" s="1"/>
  <c r="G2297" i="18"/>
  <c r="I2296" i="18"/>
  <c r="G2295" i="18"/>
  <c r="G2294" i="18"/>
  <c r="G2293" i="18"/>
  <c r="G2292" i="18"/>
  <c r="G2291" i="18"/>
  <c r="H2291" i="18" s="1"/>
  <c r="I2290" i="18"/>
  <c r="G2289" i="18"/>
  <c r="G2288" i="18"/>
  <c r="G2287" i="18"/>
  <c r="G2286" i="18"/>
  <c r="G2285" i="18"/>
  <c r="I2284" i="18"/>
  <c r="G2283" i="18"/>
  <c r="H2283" i="18" s="1"/>
  <c r="G2282" i="18"/>
  <c r="H2282" i="18" s="1"/>
  <c r="G2281" i="18"/>
  <c r="G2280" i="18"/>
  <c r="H2280" i="18" s="1"/>
  <c r="G2279" i="18"/>
  <c r="I2278" i="18"/>
  <c r="G2277" i="18"/>
  <c r="G2276" i="18"/>
  <c r="G2275" i="18"/>
  <c r="H2275" i="18" s="1"/>
  <c r="G2274" i="18"/>
  <c r="H2274" i="18" s="1"/>
  <c r="G2273" i="18"/>
  <c r="I2272" i="18"/>
  <c r="G2271" i="18"/>
  <c r="G2270" i="18"/>
  <c r="G2269" i="18"/>
  <c r="G2268" i="18"/>
  <c r="G2267" i="18"/>
  <c r="H2267" i="18" s="1"/>
  <c r="I2266" i="18"/>
  <c r="G2265" i="18"/>
  <c r="G2264" i="18"/>
  <c r="G2263" i="18"/>
  <c r="G2262" i="18"/>
  <c r="G2261" i="18"/>
  <c r="I2260" i="18"/>
  <c r="G2259" i="18"/>
  <c r="H2259" i="18" s="1"/>
  <c r="G2258" i="18"/>
  <c r="H2258" i="18" s="1"/>
  <c r="G2257" i="18"/>
  <c r="G2256" i="18"/>
  <c r="G2255" i="18"/>
  <c r="I2254" i="18"/>
  <c r="G2253" i="18"/>
  <c r="G2252" i="18"/>
  <c r="G2251" i="18"/>
  <c r="H2251" i="18" s="1"/>
  <c r="G2250" i="18"/>
  <c r="H2250" i="18" s="1"/>
  <c r="G2249" i="18"/>
  <c r="I2248" i="18"/>
  <c r="G2247" i="18"/>
  <c r="G2246" i="18"/>
  <c r="G2245" i="18"/>
  <c r="G2244" i="18"/>
  <c r="G2243" i="18"/>
  <c r="H2243" i="18" s="1"/>
  <c r="I2242" i="18"/>
  <c r="G2241" i="18"/>
  <c r="G2240" i="18"/>
  <c r="G2239" i="18"/>
  <c r="G2238" i="18"/>
  <c r="G2237" i="18"/>
  <c r="I2236" i="18"/>
  <c r="G2235" i="18"/>
  <c r="G2234" i="18"/>
  <c r="H2234" i="18" s="1"/>
  <c r="G2233" i="18"/>
  <c r="G2232" i="18"/>
  <c r="H2232" i="18" s="1"/>
  <c r="G2231" i="18"/>
  <c r="I2230" i="18"/>
  <c r="G2229" i="18"/>
  <c r="G2228" i="18"/>
  <c r="G2227" i="18"/>
  <c r="H2227" i="18" s="1"/>
  <c r="G2226" i="18"/>
  <c r="H2226" i="18" s="1"/>
  <c r="G2225" i="18"/>
  <c r="I2224" i="18"/>
  <c r="G2223" i="18"/>
  <c r="G2222" i="18"/>
  <c r="G2221" i="18"/>
  <c r="G2220" i="18"/>
  <c r="G2219" i="18"/>
  <c r="H2219" i="18" s="1"/>
  <c r="I2218" i="18"/>
  <c r="G2217" i="18"/>
  <c r="G2216" i="18"/>
  <c r="H2216" i="18" s="1"/>
  <c r="G2215" i="18"/>
  <c r="G2214" i="18"/>
  <c r="G2213" i="18"/>
  <c r="I2212" i="18"/>
  <c r="G2211" i="18"/>
  <c r="H2211" i="18" s="1"/>
  <c r="G2210" i="18"/>
  <c r="H2210" i="18" s="1"/>
  <c r="G2209" i="18"/>
  <c r="G2208" i="18"/>
  <c r="G2207" i="18"/>
  <c r="I2206" i="18"/>
  <c r="G2205" i="18"/>
  <c r="G2204" i="18"/>
  <c r="G2203" i="18"/>
  <c r="H2203" i="18" s="1"/>
  <c r="G2202" i="18"/>
  <c r="H2202" i="18" s="1"/>
  <c r="G2201" i="18"/>
  <c r="I2200" i="18"/>
  <c r="G2199" i="18"/>
  <c r="G2198" i="18"/>
  <c r="G2197" i="18"/>
  <c r="G2196" i="18"/>
  <c r="G2195" i="18"/>
  <c r="H2195" i="18" s="1"/>
  <c r="I2194" i="18"/>
  <c r="G2193" i="18"/>
  <c r="G2192" i="18"/>
  <c r="G2191" i="18"/>
  <c r="G2190" i="18"/>
  <c r="G2189" i="18"/>
  <c r="I2188" i="18"/>
  <c r="G2187" i="18"/>
  <c r="H2187" i="18" s="1"/>
  <c r="G2186" i="18"/>
  <c r="H2186" i="18" s="1"/>
  <c r="G2185" i="18"/>
  <c r="G2184" i="18"/>
  <c r="H2184" i="18" s="1"/>
  <c r="G2183" i="18"/>
  <c r="I2182" i="18"/>
  <c r="G2181" i="18"/>
  <c r="G2180" i="18"/>
  <c r="G2179" i="18"/>
  <c r="H2179" i="18" s="1"/>
  <c r="G2178" i="18"/>
  <c r="H2178" i="18" s="1"/>
  <c r="G2177" i="18"/>
  <c r="I2176" i="18"/>
  <c r="G2175" i="18"/>
  <c r="G2174" i="18"/>
  <c r="G2173" i="18"/>
  <c r="G2172" i="18"/>
  <c r="G2171" i="18"/>
  <c r="I2170" i="18"/>
  <c r="G2169" i="18"/>
  <c r="G2168" i="18"/>
  <c r="H2168" i="18" s="1"/>
  <c r="G2167" i="18"/>
  <c r="G2166" i="18"/>
  <c r="G2165" i="18"/>
  <c r="I2164" i="18"/>
  <c r="G2163" i="18"/>
  <c r="H2163" i="18" s="1"/>
  <c r="G2162" i="18"/>
  <c r="H2162" i="18" s="1"/>
  <c r="G2161" i="18"/>
  <c r="G2160" i="18"/>
  <c r="G2159" i="18"/>
  <c r="I2158" i="18"/>
  <c r="G2157" i="18"/>
  <c r="G2156" i="18"/>
  <c r="G2155" i="18"/>
  <c r="H2155" i="18" s="1"/>
  <c r="G2154" i="18"/>
  <c r="H2154" i="18" s="1"/>
  <c r="G2153" i="18"/>
  <c r="I2152" i="18"/>
  <c r="G2151" i="18"/>
  <c r="G2150" i="18"/>
  <c r="G2149" i="18"/>
  <c r="G2148" i="18"/>
  <c r="G2147" i="18"/>
  <c r="H2147" i="18" s="1"/>
  <c r="I2146" i="18"/>
  <c r="G2145" i="18"/>
  <c r="G2144" i="18"/>
  <c r="G2143" i="18"/>
  <c r="G2142" i="18"/>
  <c r="G2141" i="18"/>
  <c r="I2140" i="18"/>
  <c r="G2139" i="18"/>
  <c r="H2139" i="18" s="1"/>
  <c r="G2138" i="18"/>
  <c r="H2138" i="18" s="1"/>
  <c r="G2137" i="18"/>
  <c r="G2136" i="18"/>
  <c r="H2136" i="18" s="1"/>
  <c r="G2135" i="18"/>
  <c r="I2134" i="18"/>
  <c r="G2133" i="18"/>
  <c r="G2132" i="18"/>
  <c r="G2131" i="18"/>
  <c r="H2131" i="18" s="1"/>
  <c r="G2130" i="18"/>
  <c r="H2130" i="18" s="1"/>
  <c r="G2129" i="18"/>
  <c r="I2128" i="18"/>
  <c r="G2127" i="18"/>
  <c r="G2126" i="18"/>
  <c r="H2126" i="18" s="1"/>
  <c r="G2125" i="18"/>
  <c r="G2124" i="18"/>
  <c r="G2123" i="18"/>
  <c r="H2123" i="18" s="1"/>
  <c r="I2122" i="18"/>
  <c r="G2121" i="18"/>
  <c r="H2121" i="18" s="1"/>
  <c r="G2120" i="18"/>
  <c r="H2120" i="18" s="1"/>
  <c r="G2119" i="18"/>
  <c r="H2119" i="18" s="1"/>
  <c r="G2118" i="18"/>
  <c r="H2118" i="18" s="1"/>
  <c r="G2117" i="18"/>
  <c r="H2117" i="18" s="1"/>
  <c r="I2116" i="18"/>
  <c r="H2570" i="18"/>
  <c r="H2569" i="18"/>
  <c r="H2568" i="18"/>
  <c r="H2567" i="18"/>
  <c r="H2559" i="18"/>
  <c r="H2558" i="18"/>
  <c r="H2553" i="18"/>
  <c r="H2551" i="18"/>
  <c r="H2550" i="18"/>
  <c r="H2549" i="18"/>
  <c r="H2546" i="18"/>
  <c r="H2545" i="18"/>
  <c r="H2543" i="18"/>
  <c r="H2541" i="18"/>
  <c r="H2540" i="18"/>
  <c r="H2538" i="18"/>
  <c r="H2537" i="18"/>
  <c r="H2535" i="18"/>
  <c r="H2534" i="18"/>
  <c r="H2533" i="18"/>
  <c r="H2532" i="18"/>
  <c r="H2521" i="18"/>
  <c r="H2519" i="18"/>
  <c r="H2517" i="18"/>
  <c r="H2516" i="18"/>
  <c r="H2515" i="18"/>
  <c r="H2513" i="18"/>
  <c r="H2511" i="18"/>
  <c r="H2510" i="18"/>
  <c r="H2509" i="18"/>
  <c r="H2508" i="18"/>
  <c r="H2505" i="18"/>
  <c r="H2503" i="18"/>
  <c r="H2502" i="18"/>
  <c r="H2501" i="18"/>
  <c r="H2497" i="18"/>
  <c r="H2496" i="18"/>
  <c r="H2495" i="18"/>
  <c r="H2493" i="18"/>
  <c r="H2492" i="18"/>
  <c r="H2489" i="18"/>
  <c r="H2487" i="18"/>
  <c r="H2486" i="18"/>
  <c r="H2485" i="18"/>
  <c r="H2484" i="18"/>
  <c r="H2481" i="18"/>
  <c r="H2480" i="18"/>
  <c r="H2479" i="18"/>
  <c r="H2478" i="18"/>
  <c r="H2477" i="18"/>
  <c r="H2471" i="18"/>
  <c r="H2469" i="18"/>
  <c r="H2465" i="18"/>
  <c r="H2463" i="18"/>
  <c r="H2462" i="18"/>
  <c r="H2461" i="18"/>
  <c r="H2460" i="18"/>
  <c r="H2455" i="18"/>
  <c r="H2454" i="18"/>
  <c r="H2453" i="18"/>
  <c r="H2449" i="18"/>
  <c r="H2448" i="18"/>
  <c r="H2447" i="18"/>
  <c r="H2445" i="18"/>
  <c r="H2444" i="18"/>
  <c r="H2439" i="18"/>
  <c r="H2438" i="18"/>
  <c r="H2437" i="18"/>
  <c r="H2433" i="18"/>
  <c r="H2432" i="18"/>
  <c r="H2431" i="18"/>
  <c r="H2430" i="18"/>
  <c r="H2429" i="18"/>
  <c r="H2427" i="18"/>
  <c r="H2423" i="18"/>
  <c r="H2421" i="18"/>
  <c r="H2417" i="18"/>
  <c r="H2415" i="18"/>
  <c r="H2414" i="18"/>
  <c r="H2413" i="18"/>
  <c r="H2412" i="18"/>
  <c r="H2407" i="18"/>
  <c r="H2406" i="18"/>
  <c r="H2405" i="18"/>
  <c r="H2401" i="18"/>
  <c r="H2400" i="18"/>
  <c r="H2399" i="18"/>
  <c r="H2397" i="18"/>
  <c r="H2396" i="18"/>
  <c r="H2391" i="18"/>
  <c r="H2390" i="18"/>
  <c r="H2389" i="18"/>
  <c r="H2385" i="18"/>
  <c r="H2384" i="18"/>
  <c r="H2383" i="18"/>
  <c r="H2382" i="18"/>
  <c r="H2381" i="18"/>
  <c r="H2377" i="18"/>
  <c r="H2375" i="18"/>
  <c r="H2373" i="18"/>
  <c r="H2372" i="18"/>
  <c r="H2369" i="18"/>
  <c r="H2367" i="18"/>
  <c r="H2366" i="18"/>
  <c r="H2365" i="18"/>
  <c r="H2364" i="18"/>
  <c r="H2363" i="18"/>
  <c r="H2361" i="18"/>
  <c r="H2359" i="18"/>
  <c r="H2358" i="18"/>
  <c r="H2357" i="18"/>
  <c r="H2353" i="18"/>
  <c r="H2352" i="18"/>
  <c r="H2351" i="18"/>
  <c r="H2349" i="18"/>
  <c r="H2348" i="18"/>
  <c r="H2345" i="18"/>
  <c r="H2343" i="18"/>
  <c r="H2342" i="18"/>
  <c r="H2341" i="18"/>
  <c r="H2340" i="18"/>
  <c r="H2337" i="18"/>
  <c r="H2336" i="18"/>
  <c r="H2335" i="18"/>
  <c r="H2334" i="18"/>
  <c r="H2333" i="18"/>
  <c r="H2329" i="18"/>
  <c r="H2327" i="18"/>
  <c r="H2325" i="18"/>
  <c r="H2324" i="18"/>
  <c r="H2321" i="18"/>
  <c r="H2319" i="18"/>
  <c r="H2318" i="18"/>
  <c r="H2317" i="18"/>
  <c r="H2316" i="18"/>
  <c r="H2313" i="18"/>
  <c r="H2311" i="18"/>
  <c r="H2310" i="18"/>
  <c r="H2309" i="18"/>
  <c r="H2305" i="18"/>
  <c r="H2304" i="18"/>
  <c r="H2303" i="18"/>
  <c r="H2301" i="18"/>
  <c r="H2300" i="18"/>
  <c r="H2299" i="18"/>
  <c r="H2297" i="18"/>
  <c r="H2295" i="18"/>
  <c r="H2294" i="18"/>
  <c r="H2293" i="18"/>
  <c r="H2292" i="18"/>
  <c r="H2289" i="18"/>
  <c r="H2288" i="18"/>
  <c r="H2287" i="18"/>
  <c r="H2286" i="18"/>
  <c r="H2285" i="18"/>
  <c r="H2281" i="18"/>
  <c r="H2279" i="18"/>
  <c r="H2277" i="18"/>
  <c r="H2276" i="18"/>
  <c r="H2273" i="18"/>
  <c r="H2271" i="18"/>
  <c r="H2270" i="18"/>
  <c r="H2269" i="18"/>
  <c r="H2268" i="18"/>
  <c r="H2265" i="18"/>
  <c r="H2264" i="18"/>
  <c r="H2263" i="18"/>
  <c r="H2262" i="18"/>
  <c r="H2261" i="18"/>
  <c r="H2257" i="18"/>
  <c r="H2256" i="18"/>
  <c r="H2255" i="18"/>
  <c r="H2253" i="18"/>
  <c r="H2252" i="18"/>
  <c r="H2249" i="18"/>
  <c r="H2247" i="18"/>
  <c r="H2246" i="18"/>
  <c r="H2245" i="18"/>
  <c r="H2244" i="18"/>
  <c r="H2241" i="18"/>
  <c r="H2240" i="18"/>
  <c r="H2239" i="18"/>
  <c r="H2238" i="18"/>
  <c r="H2237" i="18"/>
  <c r="H2235" i="18"/>
  <c r="H2233" i="18"/>
  <c r="H2231" i="18"/>
  <c r="H2229" i="18"/>
  <c r="H2228" i="18"/>
  <c r="H2225" i="18"/>
  <c r="H2223" i="18"/>
  <c r="H2222" i="18"/>
  <c r="H2221" i="18"/>
  <c r="H2220" i="18"/>
  <c r="H2217" i="18"/>
  <c r="H2215" i="18"/>
  <c r="H2214" i="18"/>
  <c r="H2213" i="18"/>
  <c r="H2209" i="18"/>
  <c r="H2208" i="18"/>
  <c r="H2207" i="18"/>
  <c r="H2205" i="18"/>
  <c r="H2204" i="18"/>
  <c r="H2201" i="18"/>
  <c r="H2199" i="18"/>
  <c r="H2198" i="18"/>
  <c r="H2197" i="18"/>
  <c r="H2196" i="18"/>
  <c r="H2193" i="18"/>
  <c r="H2192" i="18"/>
  <c r="H2191" i="18"/>
  <c r="H2190" i="18"/>
  <c r="H2189" i="18"/>
  <c r="H2185" i="18"/>
  <c r="H2183" i="18"/>
  <c r="H2181" i="18"/>
  <c r="H2180" i="18"/>
  <c r="H2177" i="18"/>
  <c r="H2175" i="18"/>
  <c r="H2174" i="18"/>
  <c r="H2173" i="18"/>
  <c r="H2172" i="18"/>
  <c r="H2171" i="18"/>
  <c r="H2169" i="18"/>
  <c r="H2167" i="18"/>
  <c r="H2166" i="18"/>
  <c r="H2165" i="18"/>
  <c r="H2161" i="18"/>
  <c r="H2160" i="18"/>
  <c r="H2159" i="18"/>
  <c r="H2157" i="18"/>
  <c r="H2156" i="18"/>
  <c r="H2153" i="18"/>
  <c r="H2151" i="18"/>
  <c r="H2150" i="18"/>
  <c r="H2149" i="18"/>
  <c r="H2148" i="18"/>
  <c r="H2145" i="18"/>
  <c r="H2144" i="18"/>
  <c r="H2143" i="18"/>
  <c r="H2142" i="18"/>
  <c r="H2141" i="18"/>
  <c r="H2137" i="18"/>
  <c r="H2135" i="18"/>
  <c r="H2133" i="18"/>
  <c r="H2132" i="18"/>
  <c r="H2129" i="18"/>
  <c r="H2127" i="18"/>
  <c r="H2125" i="18"/>
  <c r="H2124" i="18"/>
  <c r="J4" i="17"/>
  <c r="J5" i="17"/>
  <c r="J6" i="17"/>
  <c r="J7" i="17"/>
  <c r="J8" i="17"/>
  <c r="J9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J39" i="17"/>
  <c r="J40" i="17"/>
  <c r="J41" i="17"/>
  <c r="J42" i="17"/>
  <c r="J43" i="17"/>
  <c r="J44" i="17"/>
  <c r="J45" i="17"/>
  <c r="J46" i="17"/>
  <c r="J47" i="17"/>
  <c r="J48" i="17"/>
  <c r="J49" i="17"/>
  <c r="J50" i="17"/>
  <c r="J51" i="17"/>
  <c r="J52" i="17"/>
  <c r="J53" i="17"/>
  <c r="J54" i="17"/>
  <c r="J55" i="17"/>
  <c r="J56" i="17"/>
  <c r="J57" i="17"/>
  <c r="J58" i="17"/>
  <c r="J59" i="17"/>
  <c r="J60" i="17"/>
  <c r="J61" i="17"/>
  <c r="J62" i="17"/>
  <c r="J63" i="17"/>
  <c r="J64" i="17"/>
  <c r="J65" i="17"/>
  <c r="J66" i="17"/>
  <c r="J67" i="17"/>
  <c r="J68" i="17"/>
  <c r="J69" i="17"/>
  <c r="J70" i="17"/>
  <c r="J71" i="17"/>
  <c r="J72" i="17"/>
  <c r="J73" i="17"/>
  <c r="J74" i="17"/>
  <c r="J75" i="17"/>
  <c r="J76" i="17"/>
  <c r="J77" i="17"/>
  <c r="J78" i="17"/>
  <c r="J79" i="17"/>
  <c r="J80" i="17"/>
  <c r="J81" i="17"/>
  <c r="J82" i="17"/>
  <c r="J3" i="17"/>
  <c r="H2115" i="18"/>
  <c r="H2114" i="18"/>
  <c r="H2113" i="18"/>
  <c r="H2112" i="18"/>
  <c r="H2110" i="18"/>
  <c r="H2109" i="18"/>
  <c r="H2108" i="18"/>
  <c r="H2107" i="18"/>
  <c r="H2105" i="18"/>
  <c r="H2104" i="18"/>
  <c r="H2103" i="18"/>
  <c r="H2102" i="18"/>
  <c r="H2100" i="18"/>
  <c r="H2099" i="18"/>
  <c r="H2098" i="18"/>
  <c r="H2097" i="18"/>
  <c r="H2095" i="18"/>
  <c r="H2094" i="18"/>
  <c r="H2093" i="18"/>
  <c r="H2092" i="18"/>
  <c r="H2090" i="18"/>
  <c r="H2089" i="18"/>
  <c r="H2088" i="18"/>
  <c r="H2087" i="18"/>
  <c r="H2085" i="18"/>
  <c r="H2084" i="18"/>
  <c r="H2083" i="18"/>
  <c r="H2082" i="18"/>
  <c r="H2080" i="18"/>
  <c r="H2079" i="18"/>
  <c r="H2078" i="18"/>
  <c r="H2077" i="18"/>
  <c r="H2075" i="18"/>
  <c r="H2074" i="18"/>
  <c r="H2073" i="18"/>
  <c r="H2072" i="18"/>
  <c r="H2070" i="18"/>
  <c r="H2069" i="18"/>
  <c r="H2068" i="18"/>
  <c r="H2067" i="18"/>
  <c r="H2065" i="18"/>
  <c r="H2064" i="18"/>
  <c r="H2063" i="18"/>
  <c r="H2062" i="18"/>
  <c r="H2060" i="18"/>
  <c r="H2059" i="18"/>
  <c r="H2058" i="18"/>
  <c r="H2056" i="18"/>
  <c r="H2055" i="18"/>
  <c r="H2054" i="18"/>
  <c r="H2052" i="18"/>
  <c r="H2051" i="18"/>
  <c r="H2050" i="18"/>
  <c r="H2048" i="18"/>
  <c r="H2047" i="18"/>
  <c r="H2046" i="18"/>
  <c r="H2044" i="18"/>
  <c r="H2043" i="18"/>
  <c r="H2042" i="18"/>
  <c r="H2040" i="18"/>
  <c r="H2039" i="18"/>
  <c r="H2038" i="18"/>
  <c r="H2036" i="18"/>
  <c r="H2035" i="18"/>
  <c r="H2034" i="18"/>
  <c r="H2032" i="18"/>
  <c r="H2031" i="18"/>
  <c r="H2030" i="18"/>
  <c r="H2028" i="18"/>
  <c r="H2027" i="18"/>
  <c r="H2026" i="18"/>
  <c r="H2024" i="18"/>
  <c r="H2023" i="18"/>
  <c r="H2022" i="18"/>
  <c r="H2020" i="18"/>
  <c r="H2019" i="18"/>
  <c r="H2018" i="18"/>
  <c r="H2016" i="18"/>
  <c r="H2015" i="18"/>
  <c r="H2014" i="18"/>
  <c r="H2012" i="18"/>
  <c r="H2011" i="18"/>
  <c r="H2010" i="18"/>
  <c r="H2008" i="18"/>
  <c r="H2007" i="18"/>
  <c r="H2006" i="18"/>
  <c r="H2004" i="18"/>
  <c r="H2003" i="18"/>
  <c r="H2002" i="18"/>
  <c r="H2000" i="18"/>
  <c r="H1999" i="18"/>
  <c r="H1998" i="18"/>
  <c r="H1996" i="18"/>
  <c r="H1995" i="18"/>
  <c r="H1994" i="18"/>
  <c r="H1992" i="18"/>
  <c r="H1991" i="18"/>
  <c r="H1990" i="18"/>
  <c r="H1988" i="18"/>
  <c r="H1987" i="18"/>
  <c r="H1986" i="18"/>
  <c r="H1984" i="18"/>
  <c r="H1983" i="18"/>
  <c r="H1982" i="18"/>
  <c r="H1980" i="18"/>
  <c r="H1979" i="18"/>
  <c r="H1978" i="18"/>
  <c r="H1976" i="18"/>
  <c r="H1975" i="18"/>
  <c r="H1974" i="18"/>
  <c r="H1972" i="18"/>
  <c r="H1971" i="18"/>
  <c r="H1970" i="18"/>
  <c r="H1968" i="18"/>
  <c r="H1967" i="18"/>
  <c r="H1966" i="18"/>
  <c r="H1964" i="18"/>
  <c r="H1963" i="18"/>
  <c r="H1962" i="18"/>
  <c r="H1960" i="18"/>
  <c r="H1959" i="18"/>
  <c r="H1958" i="18"/>
  <c r="H1956" i="18"/>
  <c r="H1955" i="18"/>
  <c r="H1954" i="18"/>
  <c r="H1952" i="18"/>
  <c r="H1951" i="18"/>
  <c r="H1950" i="18"/>
  <c r="H1948" i="18"/>
  <c r="H1947" i="18"/>
  <c r="H1946" i="18"/>
  <c r="H1944" i="18"/>
  <c r="H1943" i="18"/>
  <c r="H1942" i="18"/>
  <c r="H1940" i="18"/>
  <c r="H1939" i="18"/>
  <c r="H1938" i="18"/>
  <c r="H1936" i="18"/>
  <c r="H1935" i="18"/>
  <c r="H1934" i="18"/>
  <c r="H1932" i="18"/>
  <c r="H1931" i="18"/>
  <c r="H1930" i="18"/>
  <c r="H1928" i="18"/>
  <c r="H1927" i="18"/>
  <c r="H1926" i="18"/>
  <c r="H1924" i="18"/>
  <c r="H1923" i="18"/>
  <c r="H1922" i="18"/>
  <c r="H1920" i="18"/>
  <c r="H1919" i="18"/>
  <c r="H1918" i="18"/>
  <c r="H1916" i="18"/>
  <c r="H1915" i="18"/>
  <c r="H1914" i="18"/>
  <c r="H1912" i="18"/>
  <c r="H1911" i="18"/>
  <c r="H1910" i="18"/>
  <c r="H1908" i="18"/>
  <c r="H1907" i="18"/>
  <c r="H1906" i="18"/>
  <c r="H1904" i="18"/>
  <c r="H1903" i="18"/>
  <c r="H1902" i="18"/>
  <c r="H1900" i="18"/>
  <c r="H1899" i="18"/>
  <c r="H1898" i="18"/>
  <c r="H1896" i="18"/>
  <c r="H1895" i="18"/>
  <c r="H1894" i="18"/>
  <c r="H1892" i="18"/>
  <c r="H1891" i="18"/>
  <c r="H1890" i="18"/>
  <c r="H1888" i="18"/>
  <c r="H1887" i="18"/>
  <c r="H1886" i="18"/>
  <c r="H1884" i="18"/>
  <c r="H1883" i="18"/>
  <c r="H1882" i="18"/>
  <c r="H1880" i="18"/>
  <c r="H1879" i="18"/>
  <c r="H1878" i="18"/>
  <c r="H1876" i="18"/>
  <c r="H1875" i="18"/>
  <c r="H1874" i="18"/>
  <c r="H1872" i="18"/>
  <c r="H1871" i="18"/>
  <c r="H1870" i="18"/>
  <c r="H1868" i="18"/>
  <c r="H1867" i="18"/>
  <c r="H1866" i="18"/>
  <c r="H1864" i="18"/>
  <c r="H1863" i="18"/>
  <c r="H1862" i="18"/>
  <c r="H1860" i="18"/>
  <c r="H1859" i="18"/>
  <c r="H1858" i="18"/>
  <c r="H1856" i="18"/>
  <c r="H1855" i="18"/>
  <c r="H1854" i="18"/>
  <c r="H1853" i="18"/>
  <c r="H1851" i="18"/>
  <c r="H1850" i="18"/>
  <c r="H1849" i="18"/>
  <c r="H1847" i="18"/>
  <c r="H1846" i="18"/>
  <c r="H1845" i="18"/>
  <c r="H1843" i="18"/>
  <c r="H1842" i="18"/>
  <c r="H1841" i="18"/>
  <c r="H1839" i="18"/>
  <c r="H1838" i="18"/>
  <c r="H1837" i="18"/>
  <c r="H1835" i="18"/>
  <c r="H1834" i="18"/>
  <c r="H1833" i="18"/>
  <c r="H1831" i="18"/>
  <c r="H1830" i="18"/>
  <c r="H1829" i="18"/>
  <c r="H1827" i="18"/>
  <c r="H1826" i="18"/>
  <c r="H1825" i="18"/>
  <c r="H1824" i="18" s="1"/>
  <c r="H1823" i="18"/>
  <c r="H1822" i="18"/>
  <c r="H1821" i="18"/>
  <c r="H1819" i="18"/>
  <c r="H1818" i="18"/>
  <c r="H1817" i="18"/>
  <c r="H1815" i="18"/>
  <c r="H1814" i="18"/>
  <c r="H1813" i="18"/>
  <c r="H1811" i="18"/>
  <c r="H1810" i="18"/>
  <c r="H1809" i="18"/>
  <c r="H1807" i="18"/>
  <c r="H1806" i="18"/>
  <c r="H1805" i="18"/>
  <c r="H1803" i="18"/>
  <c r="H1802" i="18"/>
  <c r="H1800" i="18"/>
  <c r="H1799" i="18"/>
  <c r="H1797" i="18"/>
  <c r="H1796" i="18"/>
  <c r="H1794" i="18"/>
  <c r="H1793" i="18"/>
  <c r="H1792" i="18"/>
  <c r="H1791" i="18"/>
  <c r="H1790" i="18"/>
  <c r="H1788" i="18"/>
  <c r="H1787" i="18"/>
  <c r="H1786" i="18"/>
  <c r="H1785" i="18"/>
  <c r="H1784" i="18"/>
  <c r="H1783" i="18"/>
  <c r="H1782" i="18"/>
  <c r="H1780" i="18"/>
  <c r="H1779" i="18"/>
  <c r="H1778" i="18"/>
  <c r="H1777" i="18"/>
  <c r="H1776" i="18"/>
  <c r="H1770" i="18"/>
  <c r="H1769" i="18"/>
  <c r="H1767" i="18"/>
  <c r="H1766" i="18"/>
  <c r="H1764" i="18"/>
  <c r="H1763" i="18"/>
  <c r="H1761" i="18"/>
  <c r="H1760" i="18"/>
  <c r="H1758" i="18"/>
  <c r="H1757" i="18"/>
  <c r="H1755" i="18"/>
  <c r="H1754" i="18"/>
  <c r="H1752" i="18"/>
  <c r="H1751" i="18"/>
  <c r="H1696" i="18"/>
  <c r="H1688" i="18"/>
  <c r="H1686" i="18"/>
  <c r="H1685" i="18"/>
  <c r="H1674" i="18"/>
  <c r="H1673" i="18"/>
  <c r="H1672" i="18"/>
  <c r="H1670" i="18"/>
  <c r="H1669" i="18"/>
  <c r="H1668" i="18"/>
  <c r="H1666" i="18"/>
  <c r="H1665" i="18"/>
  <c r="H1664" i="18"/>
  <c r="H1662" i="18"/>
  <c r="H1661" i="18"/>
  <c r="H1660" i="18"/>
  <c r="H1658" i="18"/>
  <c r="H1657" i="18"/>
  <c r="H1656" i="18"/>
  <c r="H1654" i="18"/>
  <c r="G1653" i="18"/>
  <c r="H1653" i="18" s="1"/>
  <c r="H1652" i="18"/>
  <c r="H1651" i="18"/>
  <c r="H1650" i="18"/>
  <c r="H1649" i="18"/>
  <c r="H1648" i="18"/>
  <c r="H1646" i="18"/>
  <c r="H1645" i="18"/>
  <c r="H1644" i="18"/>
  <c r="G1644" i="18"/>
  <c r="H1643" i="18"/>
  <c r="G1643" i="18"/>
  <c r="H1641" i="18"/>
  <c r="H1640" i="18"/>
  <c r="H1639" i="18"/>
  <c r="I754" i="18"/>
  <c r="I753" i="18"/>
  <c r="I752" i="18"/>
  <c r="I751" i="18"/>
  <c r="I750" i="18"/>
  <c r="I749" i="18"/>
  <c r="I748" i="18"/>
  <c r="I747" i="18"/>
  <c r="I746" i="18"/>
  <c r="H736" i="18"/>
  <c r="H735" i="18"/>
  <c r="H734" i="18"/>
  <c r="H732" i="18"/>
  <c r="H731" i="18"/>
  <c r="H730" i="18"/>
  <c r="H681" i="18"/>
  <c r="H680" i="18"/>
  <c r="H679" i="18"/>
  <c r="H678" i="18"/>
  <c r="H677" i="18"/>
  <c r="H676" i="18"/>
  <c r="H675" i="18"/>
  <c r="H674" i="18"/>
  <c r="G674" i="18"/>
  <c r="G673" i="18"/>
  <c r="H673" i="18" s="1"/>
  <c r="G672" i="18"/>
  <c r="H672" i="18" s="1"/>
  <c r="H671" i="18"/>
  <c r="G671" i="18"/>
  <c r="H670" i="18"/>
  <c r="G670" i="18"/>
  <c r="G669" i="18"/>
  <c r="H669" i="18" s="1"/>
  <c r="H668" i="18"/>
  <c r="H665" i="18"/>
  <c r="H664" i="18"/>
  <c r="H663" i="18"/>
  <c r="G662" i="18"/>
  <c r="H662" i="18" s="1"/>
  <c r="H661" i="18"/>
  <c r="H660" i="18"/>
  <c r="H659" i="18"/>
  <c r="H657" i="18"/>
  <c r="G656" i="18"/>
  <c r="H656" i="18" s="1"/>
  <c r="H655" i="18"/>
  <c r="H654" i="18"/>
  <c r="H653" i="18"/>
  <c r="H651" i="18"/>
  <c r="G650" i="18"/>
  <c r="H650" i="18" s="1"/>
  <c r="H649" i="18"/>
  <c r="H648" i="18"/>
  <c r="H647" i="18"/>
  <c r="H645" i="18"/>
  <c r="H644" i="18"/>
  <c r="H643" i="18"/>
  <c r="H642" i="18"/>
  <c r="H641" i="18"/>
  <c r="H639" i="18"/>
  <c r="G638" i="18"/>
  <c r="H638" i="18" s="1"/>
  <c r="H637" i="18"/>
  <c r="H636" i="18"/>
  <c r="H635" i="18"/>
  <c r="H633" i="18"/>
  <c r="G632" i="18"/>
  <c r="H632" i="18" s="1"/>
  <c r="H631" i="18"/>
  <c r="H630" i="18"/>
  <c r="H629" i="18"/>
  <c r="H627" i="18"/>
  <c r="G626" i="18"/>
  <c r="H626" i="18" s="1"/>
  <c r="H625" i="18"/>
  <c r="H624" i="18"/>
  <c r="H623" i="18"/>
  <c r="H621" i="18"/>
  <c r="G620" i="18"/>
  <c r="H620" i="18" s="1"/>
  <c r="H619" i="18"/>
  <c r="H618" i="18"/>
  <c r="H617" i="18"/>
  <c r="H615" i="18"/>
  <c r="G614" i="18"/>
  <c r="H614" i="18" s="1"/>
  <c r="H613" i="18"/>
  <c r="H612" i="18"/>
  <c r="H611" i="18"/>
  <c r="H609" i="18"/>
  <c r="G608" i="18"/>
  <c r="H608" i="18" s="1"/>
  <c r="H607" i="18"/>
  <c r="H606" i="18"/>
  <c r="H605" i="18"/>
  <c r="H603" i="18"/>
  <c r="G602" i="18"/>
  <c r="H602" i="18" s="1"/>
  <c r="H601" i="18"/>
  <c r="H600" i="18"/>
  <c r="H599" i="18"/>
  <c r="H597" i="18"/>
  <c r="G596" i="18"/>
  <c r="H596" i="18" s="1"/>
  <c r="H595" i="18"/>
  <c r="H594" i="18"/>
  <c r="H593" i="18"/>
  <c r="H591" i="18"/>
  <c r="H590" i="18"/>
  <c r="H589" i="18" s="1"/>
  <c r="H588" i="18"/>
  <c r="H586" i="18"/>
  <c r="H584" i="18"/>
  <c r="H582" i="18"/>
  <c r="H580" i="18"/>
  <c r="H579" i="18"/>
  <c r="H578" i="18"/>
  <c r="H577" i="18"/>
  <c r="H576" i="18"/>
  <c r="H575" i="18"/>
  <c r="H574" i="18"/>
  <c r="H573" i="18"/>
  <c r="H572" i="18"/>
  <c r="G572" i="18"/>
  <c r="H571" i="18"/>
  <c r="G571" i="18"/>
  <c r="G568" i="18"/>
  <c r="H568" i="18" s="1"/>
  <c r="G567" i="18"/>
  <c r="H567" i="18" s="1"/>
  <c r="H566" i="18"/>
  <c r="G566" i="18"/>
  <c r="G564" i="18"/>
  <c r="H564" i="18" s="1"/>
  <c r="H563" i="18"/>
  <c r="G563" i="18"/>
  <c r="H562" i="18"/>
  <c r="G562" i="18"/>
  <c r="H560" i="18"/>
  <c r="G560" i="18"/>
  <c r="G559" i="18"/>
  <c r="H559" i="18" s="1"/>
  <c r="G558" i="18"/>
  <c r="H558" i="18" s="1"/>
  <c r="G556" i="18"/>
  <c r="H556" i="18" s="1"/>
  <c r="G555" i="18"/>
  <c r="H555" i="18" s="1"/>
  <c r="H554" i="18"/>
  <c r="G554" i="18"/>
  <c r="H552" i="18"/>
  <c r="H551" i="18"/>
  <c r="H550" i="18"/>
  <c r="H549" i="18"/>
  <c r="H548" i="18"/>
  <c r="H547" i="18"/>
  <c r="G547" i="18"/>
  <c r="H546" i="18"/>
  <c r="H545" i="18"/>
  <c r="H544" i="18"/>
  <c r="H543" i="18"/>
  <c r="H542" i="18"/>
  <c r="H540" i="18"/>
  <c r="H539" i="18"/>
  <c r="H535" i="18"/>
  <c r="G535" i="18"/>
  <c r="G534" i="18"/>
  <c r="H534" i="18" s="1"/>
  <c r="G533" i="18"/>
  <c r="H533" i="18" s="1"/>
  <c r="H532" i="18"/>
  <c r="G532" i="18"/>
  <c r="H504" i="18"/>
  <c r="G503" i="18"/>
  <c r="H503" i="18" s="1"/>
  <c r="G502" i="18"/>
  <c r="H502" i="18" s="1"/>
  <c r="H501" i="18"/>
  <c r="G501" i="18"/>
  <c r="H499" i="18"/>
  <c r="G498" i="18"/>
  <c r="H498" i="18" s="1"/>
  <c r="H497" i="18"/>
  <c r="G497" i="18"/>
  <c r="H496" i="18"/>
  <c r="G496" i="18"/>
  <c r="H494" i="18"/>
  <c r="G493" i="18"/>
  <c r="H493" i="18" s="1"/>
  <c r="H492" i="18"/>
  <c r="G492" i="18"/>
  <c r="H491" i="18"/>
  <c r="G491" i="18"/>
  <c r="H489" i="18"/>
  <c r="G488" i="18"/>
  <c r="H488" i="18" s="1"/>
  <c r="H487" i="18"/>
  <c r="G487" i="18"/>
  <c r="H486" i="18"/>
  <c r="G486" i="18"/>
  <c r="H484" i="18"/>
  <c r="G484" i="18"/>
  <c r="G483" i="18"/>
  <c r="H483" i="18" s="1"/>
  <c r="G482" i="18"/>
  <c r="H482" i="18" s="1"/>
  <c r="G481" i="18"/>
  <c r="H481" i="18" s="1"/>
  <c r="H479" i="18"/>
  <c r="H449" i="18"/>
  <c r="H448" i="18"/>
  <c r="H447" i="18"/>
  <c r="G446" i="18"/>
  <c r="H446" i="18" s="1"/>
  <c r="H445" i="18"/>
  <c r="H444" i="18"/>
  <c r="H443" i="18"/>
  <c r="H441" i="18"/>
  <c r="G440" i="18"/>
  <c r="H440" i="18" s="1"/>
  <c r="H439" i="18"/>
  <c r="H438" i="18"/>
  <c r="H437" i="18"/>
  <c r="H435" i="18"/>
  <c r="G434" i="18"/>
  <c r="H434" i="18" s="1"/>
  <c r="H433" i="18"/>
  <c r="H432" i="18"/>
  <c r="H431" i="18"/>
  <c r="H429" i="18"/>
  <c r="G428" i="18"/>
  <c r="H428" i="18" s="1"/>
  <c r="H427" i="18"/>
  <c r="H426" i="18"/>
  <c r="H425" i="18"/>
  <c r="H423" i="18"/>
  <c r="G422" i="18"/>
  <c r="H422" i="18" s="1"/>
  <c r="H421" i="18"/>
  <c r="H420" i="18"/>
  <c r="H419" i="18"/>
  <c r="H417" i="18"/>
  <c r="G416" i="18"/>
  <c r="H416" i="18" s="1"/>
  <c r="H415" i="18"/>
  <c r="H414" i="18"/>
  <c r="H413" i="18"/>
  <c r="H411" i="18"/>
  <c r="G410" i="18"/>
  <c r="H410" i="18" s="1"/>
  <c r="H409" i="18"/>
  <c r="H408" i="18"/>
  <c r="H407" i="18"/>
  <c r="H405" i="18"/>
  <c r="G404" i="18"/>
  <c r="H404" i="18" s="1"/>
  <c r="H403" i="18"/>
  <c r="H402" i="18"/>
  <c r="H401" i="18"/>
  <c r="H399" i="18"/>
  <c r="G398" i="18"/>
  <c r="H398" i="18" s="1"/>
  <c r="H397" i="18"/>
  <c r="H396" i="18"/>
  <c r="H395" i="18"/>
  <c r="H393" i="18"/>
  <c r="G392" i="18"/>
  <c r="H392" i="18" s="1"/>
  <c r="H391" i="18"/>
  <c r="H390" i="18"/>
  <c r="H389" i="18"/>
  <c r="H387" i="18"/>
  <c r="G386" i="18"/>
  <c r="H386" i="18" s="1"/>
  <c r="H385" i="18"/>
  <c r="H384" i="18"/>
  <c r="H383" i="18"/>
  <c r="H381" i="18"/>
  <c r="G380" i="18"/>
  <c r="H380" i="18" s="1"/>
  <c r="H379" i="18"/>
  <c r="H378" i="18"/>
  <c r="H377" i="18"/>
  <c r="H375" i="18"/>
  <c r="G374" i="18"/>
  <c r="H374" i="18" s="1"/>
  <c r="H373" i="18"/>
  <c r="H372" i="18"/>
  <c r="H371" i="18"/>
  <c r="H369" i="18"/>
  <c r="G368" i="18"/>
  <c r="H368" i="18" s="1"/>
  <c r="H367" i="18"/>
  <c r="H366" i="18"/>
  <c r="H365" i="18"/>
  <c r="H363" i="18"/>
  <c r="G362" i="18"/>
  <c r="H362" i="18" s="1"/>
  <c r="H361" i="18"/>
  <c r="H360" i="18"/>
  <c r="H359" i="18"/>
  <c r="H357" i="18"/>
  <c r="H356" i="18"/>
  <c r="H355" i="18"/>
  <c r="H354" i="18"/>
  <c r="H353" i="18"/>
  <c r="H351" i="18"/>
  <c r="G350" i="18"/>
  <c r="H350" i="18" s="1"/>
  <c r="H349" i="18"/>
  <c r="H348" i="18"/>
  <c r="H347" i="18"/>
  <c r="H345" i="18"/>
  <c r="G344" i="18"/>
  <c r="H344" i="18" s="1"/>
  <c r="H343" i="18"/>
  <c r="H342" i="18"/>
  <c r="H341" i="18"/>
  <c r="H339" i="18"/>
  <c r="G338" i="18"/>
  <c r="H338" i="18" s="1"/>
  <c r="H337" i="18"/>
  <c r="H336" i="18"/>
  <c r="H335" i="18"/>
  <c r="H333" i="18"/>
  <c r="G332" i="18"/>
  <c r="H332" i="18" s="1"/>
  <c r="H331" i="18"/>
  <c r="H330" i="18"/>
  <c r="H329" i="18"/>
  <c r="H327" i="18"/>
  <c r="G326" i="18"/>
  <c r="H326" i="18" s="1"/>
  <c r="H325" i="18"/>
  <c r="H324" i="18"/>
  <c r="H323" i="18"/>
  <c r="H321" i="18"/>
  <c r="G320" i="18"/>
  <c r="H320" i="18" s="1"/>
  <c r="H319" i="18"/>
  <c r="H318" i="18"/>
  <c r="H317" i="18"/>
  <c r="H315" i="18"/>
  <c r="G314" i="18"/>
  <c r="H314" i="18" s="1"/>
  <c r="H313" i="18"/>
  <c r="H312" i="18"/>
  <c r="H311" i="18"/>
  <c r="H309" i="18"/>
  <c r="G308" i="18"/>
  <c r="H308" i="18" s="1"/>
  <c r="H307" i="18"/>
  <c r="H306" i="18"/>
  <c r="H305" i="18"/>
  <c r="H303" i="18"/>
  <c r="H302" i="18"/>
  <c r="H301" i="18" s="1"/>
  <c r="H300" i="18"/>
  <c r="H299" i="18"/>
  <c r="H298" i="18" s="1"/>
  <c r="H297" i="18"/>
  <c r="H296" i="18"/>
  <c r="H295" i="18" s="1"/>
  <c r="H294" i="18"/>
  <c r="H293" i="18"/>
  <c r="H292" i="18" s="1"/>
  <c r="H291" i="18"/>
  <c r="H290" i="18"/>
  <c r="H289" i="18" s="1"/>
  <c r="H288" i="18"/>
  <c r="H287" i="18"/>
  <c r="H286" i="18" s="1"/>
  <c r="H285" i="18"/>
  <c r="H284" i="18"/>
  <c r="H283" i="18" s="1"/>
  <c r="H282" i="18"/>
  <c r="H281" i="18"/>
  <c r="H280" i="18" s="1"/>
  <c r="H279" i="18"/>
  <c r="H278" i="18"/>
  <c r="H277" i="18" s="1"/>
  <c r="H276" i="18"/>
  <c r="H275" i="18"/>
  <c r="H274" i="18" s="1"/>
  <c r="H273" i="18"/>
  <c r="H272" i="18"/>
  <c r="H271" i="18"/>
  <c r="H270" i="18"/>
  <c r="H268" i="18"/>
  <c r="H267" i="18"/>
  <c r="H266" i="18"/>
  <c r="H265" i="18"/>
  <c r="H263" i="18"/>
  <c r="H262" i="18"/>
  <c r="H261" i="18"/>
  <c r="H260" i="18"/>
  <c r="H258" i="18"/>
  <c r="H257" i="18"/>
  <c r="H256" i="18"/>
  <c r="H255" i="18"/>
  <c r="H253" i="18"/>
  <c r="H252" i="18"/>
  <c r="H251" i="18"/>
  <c r="H250" i="18"/>
  <c r="H249" i="18"/>
  <c r="H248" i="18"/>
  <c r="H247" i="18"/>
  <c r="H246" i="18"/>
  <c r="G246" i="18"/>
  <c r="G245" i="18"/>
  <c r="H245" i="18" s="1"/>
  <c r="G244" i="18"/>
  <c r="H244" i="18" s="1"/>
  <c r="H243" i="18"/>
  <c r="G243" i="18"/>
  <c r="H242" i="18"/>
  <c r="G242" i="18"/>
  <c r="G241" i="18"/>
  <c r="H241" i="18" s="1"/>
  <c r="H240" i="18"/>
  <c r="H237" i="18"/>
  <c r="H236" i="18"/>
  <c r="H235" i="18"/>
  <c r="H233" i="18"/>
  <c r="H231" i="18"/>
  <c r="H229" i="18"/>
  <c r="H199" i="18"/>
  <c r="H198" i="18"/>
  <c r="H197" i="18"/>
  <c r="H195" i="18"/>
  <c r="H194" i="18"/>
  <c r="H192" i="18"/>
  <c r="H191" i="18"/>
  <c r="H190" i="18"/>
  <c r="H188" i="18"/>
  <c r="H187" i="18"/>
  <c r="H186" i="18"/>
  <c r="H185" i="18"/>
  <c r="H184" i="18"/>
  <c r="H183" i="18"/>
  <c r="H182" i="18"/>
  <c r="H181" i="18"/>
  <c r="H180" i="18"/>
  <c r="H178" i="18"/>
  <c r="H177" i="18"/>
  <c r="H176" i="18"/>
  <c r="H174" i="18"/>
  <c r="H173" i="18"/>
  <c r="H172" i="18"/>
  <c r="H170" i="18"/>
  <c r="H169" i="18"/>
  <c r="H168" i="18"/>
  <c r="H166" i="18"/>
  <c r="H165" i="18"/>
  <c r="H164" i="18"/>
  <c r="H162" i="18"/>
  <c r="H161" i="18"/>
  <c r="H160" i="18"/>
  <c r="H158" i="18"/>
  <c r="H157" i="18"/>
  <c r="H155" i="18"/>
  <c r="H154" i="18"/>
  <c r="H152" i="18"/>
  <c r="H151" i="18"/>
  <c r="H149" i="18"/>
  <c r="H148" i="18"/>
  <c r="H146" i="18"/>
  <c r="H145" i="18"/>
  <c r="H143" i="18"/>
  <c r="H142" i="18"/>
  <c r="H140" i="18"/>
  <c r="H139" i="18"/>
  <c r="H138" i="18"/>
  <c r="H133" i="18"/>
  <c r="H132" i="18"/>
  <c r="H130" i="18"/>
  <c r="G129" i="18"/>
  <c r="H129" i="18" s="1"/>
  <c r="H128" i="18"/>
  <c r="H127" i="18"/>
  <c r="H126" i="18"/>
  <c r="H125" i="18"/>
  <c r="H124" i="18"/>
  <c r="H122" i="18"/>
  <c r="H121" i="18"/>
  <c r="H120" i="18"/>
  <c r="H119" i="18"/>
  <c r="G118" i="18"/>
  <c r="H118" i="18" s="1"/>
  <c r="G117" i="18"/>
  <c r="H117" i="18" s="1"/>
  <c r="H89" i="18"/>
  <c r="H88" i="18"/>
  <c r="H87" i="18"/>
  <c r="H86" i="18"/>
  <c r="H85" i="18"/>
  <c r="H84" i="18"/>
  <c r="H76" i="18"/>
  <c r="H69" i="18"/>
  <c r="H1798" i="18" l="1"/>
  <c r="H1820" i="18"/>
  <c r="H1812" i="18"/>
  <c r="H1655" i="18"/>
  <c r="H1857" i="18"/>
  <c r="H729" i="18"/>
  <c r="H1647" i="18"/>
  <c r="H156" i="18"/>
  <c r="H167" i="18"/>
  <c r="H2076" i="18"/>
  <c r="H159" i="18"/>
  <c r="H1844" i="18"/>
  <c r="H640" i="18"/>
  <c r="H1836" i="18"/>
  <c r="H1828" i="18"/>
  <c r="H1671" i="18"/>
  <c r="H1808" i="18"/>
  <c r="H153" i="18"/>
  <c r="H175" i="18"/>
  <c r="H1852" i="18"/>
  <c r="H1873" i="18"/>
  <c r="H1905" i="18"/>
  <c r="H1969" i="18"/>
  <c r="H196" i="18"/>
  <c r="H1663" i="18"/>
  <c r="H1885" i="18"/>
  <c r="H1917" i="18"/>
  <c r="H1949" i="18"/>
  <c r="H1981" i="18"/>
  <c r="H2013" i="18"/>
  <c r="H2045" i="18"/>
  <c r="H485" i="18"/>
  <c r="H2086" i="18"/>
  <c r="H364" i="18"/>
  <c r="H634" i="18"/>
  <c r="H1753" i="18"/>
  <c r="H592" i="18"/>
  <c r="H610" i="18"/>
  <c r="H1937" i="18"/>
  <c r="H2001" i="18"/>
  <c r="H2066" i="18"/>
  <c r="H1667" i="18"/>
  <c r="H1804" i="18"/>
  <c r="H1865" i="18"/>
  <c r="H1897" i="18"/>
  <c r="H1929" i="18"/>
  <c r="H1961" i="18"/>
  <c r="H1993" i="18"/>
  <c r="H2025" i="18"/>
  <c r="H1759" i="18"/>
  <c r="H1816" i="18"/>
  <c r="H141" i="18"/>
  <c r="H259" i="18"/>
  <c r="H346" i="18"/>
  <c r="H144" i="18"/>
  <c r="H352" i="18"/>
  <c r="H123" i="18"/>
  <c r="H1889" i="18"/>
  <c r="H1921" i="18"/>
  <c r="H1953" i="18"/>
  <c r="H1985" i="18"/>
  <c r="H2017" i="18"/>
  <c r="H189" i="18"/>
  <c r="H310" i="18"/>
  <c r="H490" i="18"/>
  <c r="H565" i="18"/>
  <c r="H1659" i="18"/>
  <c r="H2170" i="18"/>
  <c r="H163" i="18"/>
  <c r="H193" i="18"/>
  <c r="H500" i="18"/>
  <c r="H1750" i="18"/>
  <c r="H1795" i="18"/>
  <c r="H1832" i="18"/>
  <c r="H622" i="18"/>
  <c r="H553" i="18"/>
  <c r="H2033" i="18"/>
  <c r="H2122" i="18"/>
  <c r="H2146" i="18"/>
  <c r="H2194" i="18"/>
  <c r="H2218" i="18"/>
  <c r="H2242" i="18"/>
  <c r="H2266" i="18"/>
  <c r="H2290" i="18"/>
  <c r="H2314" i="18"/>
  <c r="H2338" i="18"/>
  <c r="H2386" i="18"/>
  <c r="H2410" i="18"/>
  <c r="H2434" i="18"/>
  <c r="H2458" i="18"/>
  <c r="H2482" i="18"/>
  <c r="H2506" i="18"/>
  <c r="H658" i="18"/>
  <c r="H147" i="18"/>
  <c r="H328" i="18"/>
  <c r="H418" i="18"/>
  <c r="H269" i="18"/>
  <c r="H388" i="18"/>
  <c r="H400" i="18"/>
  <c r="H557" i="18"/>
  <c r="H652" i="18"/>
  <c r="H1762" i="18"/>
  <c r="H1877" i="18"/>
  <c r="H1909" i="18"/>
  <c r="H1941" i="18"/>
  <c r="H1973" i="18"/>
  <c r="H2005" i="18"/>
  <c r="H2037" i="18"/>
  <c r="H2057" i="18"/>
  <c r="H2106" i="18"/>
  <c r="H2116" i="18"/>
  <c r="H2500" i="18"/>
  <c r="H2530" i="18"/>
  <c r="H150" i="18"/>
  <c r="H495" i="18"/>
  <c r="H541" i="18"/>
  <c r="H322" i="18"/>
  <c r="H340" i="18"/>
  <c r="H358" i="18"/>
  <c r="H394" i="18"/>
  <c r="H412" i="18"/>
  <c r="H430" i="18"/>
  <c r="H436" i="18"/>
  <c r="H733" i="18"/>
  <c r="H1765" i="18"/>
  <c r="H1789" i="18"/>
  <c r="H1848" i="18"/>
  <c r="H1869" i="18"/>
  <c r="H1901" i="18"/>
  <c r="H1933" i="18"/>
  <c r="H1965" i="18"/>
  <c r="H1997" i="18"/>
  <c r="H2029" i="18"/>
  <c r="H2049" i="18"/>
  <c r="H2061" i="18"/>
  <c r="H2071" i="18"/>
  <c r="H2362" i="18"/>
  <c r="H179" i="18"/>
  <c r="H376" i="18"/>
  <c r="H604" i="18"/>
  <c r="H1756" i="18"/>
  <c r="H1781" i="18"/>
  <c r="H1840" i="18"/>
  <c r="H1881" i="18"/>
  <c r="H1913" i="18"/>
  <c r="H1945" i="18"/>
  <c r="H1977" i="18"/>
  <c r="H2009" i="18"/>
  <c r="H2081" i="18"/>
  <c r="H2096" i="18"/>
  <c r="H2308" i="18"/>
  <c r="H2428" i="18"/>
  <c r="H370" i="18"/>
  <c r="H171" i="18"/>
  <c r="H254" i="18"/>
  <c r="H264" i="18"/>
  <c r="H316" i="18"/>
  <c r="H442" i="18"/>
  <c r="H616" i="18"/>
  <c r="H646" i="18"/>
  <c r="H1768" i="18"/>
  <c r="H1801" i="18"/>
  <c r="H1861" i="18"/>
  <c r="H1893" i="18"/>
  <c r="H1925" i="18"/>
  <c r="H1957" i="18"/>
  <c r="H1989" i="18"/>
  <c r="H2021" i="18"/>
  <c r="H2041" i="18"/>
  <c r="H2053" i="18"/>
  <c r="H2091" i="18"/>
  <c r="H2101" i="18"/>
  <c r="H2111" i="18"/>
  <c r="H2452" i="18"/>
  <c r="H2476" i="18"/>
  <c r="H2548" i="18"/>
  <c r="H2350" i="18"/>
  <c r="H2152" i="18"/>
  <c r="H2236" i="18"/>
  <c r="H2254" i="18"/>
  <c r="H2344" i="18"/>
  <c r="H2488" i="18"/>
  <c r="I2524" i="18"/>
  <c r="G2556" i="18"/>
  <c r="H2556" i="18" s="1"/>
  <c r="H2554" i="18" s="1"/>
  <c r="G2564" i="18"/>
  <c r="H2564" i="18" s="1"/>
  <c r="I2572" i="18"/>
  <c r="H2224" i="18"/>
  <c r="H2164" i="18"/>
  <c r="H2182" i="18"/>
  <c r="H2272" i="18"/>
  <c r="H2356" i="18"/>
  <c r="H2398" i="18"/>
  <c r="H2470" i="18"/>
  <c r="H2566" i="18"/>
  <c r="G2525" i="18"/>
  <c r="H2525" i="18" s="1"/>
  <c r="G2565" i="18"/>
  <c r="H2565" i="18" s="1"/>
  <c r="G2573" i="18"/>
  <c r="H2573" i="18" s="1"/>
  <c r="H2134" i="18"/>
  <c r="H2494" i="18"/>
  <c r="H2200" i="18"/>
  <c r="H2284" i="18"/>
  <c r="H2326" i="18"/>
  <c r="H2392" i="18"/>
  <c r="H2464" i="18"/>
  <c r="G2526" i="18"/>
  <c r="H2526" i="18" s="1"/>
  <c r="G2574" i="18"/>
  <c r="H2574" i="18" s="1"/>
  <c r="H2416" i="18"/>
  <c r="H2128" i="18"/>
  <c r="H2212" i="18"/>
  <c r="H2230" i="18"/>
  <c r="H2320" i="18"/>
  <c r="H2404" i="18"/>
  <c r="H2446" i="18"/>
  <c r="H2542" i="18"/>
  <c r="G2527" i="18"/>
  <c r="H2527" i="18" s="1"/>
  <c r="G2575" i="18"/>
  <c r="H2575" i="18" s="1"/>
  <c r="H2140" i="18"/>
  <c r="H2158" i="18"/>
  <c r="H2248" i="18"/>
  <c r="H2332" i="18"/>
  <c r="H2374" i="18"/>
  <c r="H2440" i="18"/>
  <c r="H2536" i="18"/>
  <c r="G2528" i="18"/>
  <c r="H2528" i="18" s="1"/>
  <c r="I2560" i="18"/>
  <c r="G2576" i="18"/>
  <c r="H2576" i="18" s="1"/>
  <c r="H2176" i="18"/>
  <c r="H2260" i="18"/>
  <c r="H2278" i="18"/>
  <c r="H2302" i="18"/>
  <c r="H2368" i="18"/>
  <c r="H2518" i="18"/>
  <c r="H2188" i="18"/>
  <c r="H2206" i="18"/>
  <c r="H2296" i="18"/>
  <c r="H2380" i="18"/>
  <c r="H2422" i="18"/>
  <c r="H2512" i="18"/>
  <c r="H628" i="18"/>
  <c r="H598" i="18"/>
  <c r="H561" i="18"/>
  <c r="H480" i="18"/>
  <c r="H334" i="18"/>
  <c r="H406" i="18"/>
  <c r="H424" i="18"/>
  <c r="H382" i="18"/>
  <c r="H304" i="18"/>
  <c r="H2524" i="18" l="1"/>
  <c r="H2560" i="18"/>
  <c r="H2572" i="18"/>
  <c r="J76" i="18" l="1"/>
  <c r="J75" i="18"/>
  <c r="J70" i="18"/>
  <c r="J69" i="18"/>
  <c r="J77" i="18"/>
  <c r="J78" i="18"/>
  <c r="J79" i="18"/>
  <c r="J80" i="18"/>
  <c r="J81" i="18"/>
  <c r="J82" i="18"/>
  <c r="J83" i="18"/>
  <c r="J84" i="18"/>
  <c r="J85" i="18"/>
  <c r="J86" i="18"/>
  <c r="J41" i="18"/>
  <c r="J40" i="18"/>
  <c r="J39" i="18"/>
  <c r="J38" i="18"/>
  <c r="J37" i="18"/>
  <c r="J36" i="18"/>
  <c r="J35" i="18"/>
  <c r="J34" i="18"/>
  <c r="J33" i="18"/>
  <c r="J32" i="18"/>
  <c r="J31" i="18"/>
  <c r="J30" i="18"/>
  <c r="J29" i="18"/>
  <c r="H28" i="18"/>
  <c r="J28" i="18" s="1"/>
  <c r="G28" i="18"/>
  <c r="G27" i="18"/>
  <c r="H27" i="18" s="1"/>
  <c r="J27" i="18" s="1"/>
  <c r="H26" i="18"/>
  <c r="J26" i="18" s="1"/>
  <c r="G26" i="18"/>
  <c r="G25" i="18"/>
  <c r="H25" i="18" s="1"/>
  <c r="J25" i="18" s="1"/>
  <c r="H24" i="18"/>
  <c r="J24" i="18" s="1"/>
  <c r="H23" i="18"/>
  <c r="J23" i="18" s="1"/>
  <c r="J22" i="18"/>
  <c r="J21" i="18"/>
  <c r="J20" i="18"/>
  <c r="J19" i="18"/>
  <c r="G2158" i="18" l="1"/>
  <c r="G2152" i="18"/>
  <c r="G2146" i="18"/>
  <c r="J630" i="18"/>
  <c r="J624" i="18"/>
  <c r="J618" i="18"/>
  <c r="J612" i="18"/>
  <c r="J606" i="18"/>
  <c r="J594" i="18"/>
  <c r="J593" i="18"/>
  <c r="J589" i="18"/>
  <c r="J301" i="18"/>
  <c r="J295" i="18"/>
  <c r="J292" i="18"/>
  <c r="J289" i="18"/>
  <c r="J286" i="18"/>
  <c r="J283" i="18"/>
  <c r="J280" i="18"/>
  <c r="J277" i="18"/>
  <c r="J274" i="18"/>
  <c r="J236" i="18"/>
  <c r="P76" i="18"/>
  <c r="S76" i="18" s="1"/>
  <c r="O76" i="18"/>
  <c r="P75" i="18"/>
  <c r="S75" i="18" s="1"/>
  <c r="O75" i="18"/>
  <c r="P74" i="18"/>
  <c r="S74" i="18" s="1"/>
  <c r="O74" i="18"/>
  <c r="P441" i="18"/>
  <c r="P440" i="18"/>
  <c r="P439" i="18"/>
  <c r="P438" i="18"/>
  <c r="P437" i="18"/>
  <c r="P436" i="18"/>
  <c r="R439" i="18" s="1"/>
  <c r="J227" i="18"/>
  <c r="J228" i="18"/>
  <c r="J230" i="18"/>
  <c r="J232" i="18"/>
  <c r="J234" i="18"/>
  <c r="J238" i="18"/>
  <c r="J239" i="18"/>
  <c r="J305" i="18"/>
  <c r="J306" i="18"/>
  <c r="J311" i="18"/>
  <c r="J312" i="18"/>
  <c r="J317" i="18"/>
  <c r="J318" i="18"/>
  <c r="J324" i="18"/>
  <c r="J330" i="18"/>
  <c r="J336" i="18"/>
  <c r="J342" i="18"/>
  <c r="J353" i="18"/>
  <c r="J359" i="18"/>
  <c r="J378" i="18"/>
  <c r="J384" i="18"/>
  <c r="J477" i="18"/>
  <c r="J478" i="18"/>
  <c r="J536" i="18"/>
  <c r="J537" i="18"/>
  <c r="J538" i="18"/>
  <c r="J554" i="18"/>
  <c r="J555" i="18"/>
  <c r="J556" i="18"/>
  <c r="J558" i="18"/>
  <c r="J559" i="18"/>
  <c r="J560" i="18"/>
  <c r="J562" i="18"/>
  <c r="J563" i="18"/>
  <c r="J564" i="18"/>
  <c r="J569" i="18"/>
  <c r="J570" i="18"/>
  <c r="J581" i="18"/>
  <c r="J583" i="18"/>
  <c r="J585" i="18"/>
  <c r="J587" i="18"/>
  <c r="J599" i="18"/>
  <c r="J641" i="18"/>
  <c r="J666" i="18"/>
  <c r="J667" i="18"/>
  <c r="J682" i="18"/>
  <c r="J683" i="18"/>
  <c r="J684" i="18"/>
  <c r="J685" i="18"/>
  <c r="J686" i="18"/>
  <c r="J687" i="18"/>
  <c r="J688" i="18"/>
  <c r="J689" i="18"/>
  <c r="J690" i="18"/>
  <c r="J691" i="18"/>
  <c r="J692" i="18"/>
  <c r="J693" i="18"/>
  <c r="J694" i="18"/>
  <c r="J298" i="18"/>
  <c r="P2641" i="18"/>
  <c r="S2641" i="18" s="1"/>
  <c r="O2641" i="18"/>
  <c r="K2641" i="18"/>
  <c r="P663" i="18"/>
  <c r="P662" i="18"/>
  <c r="P661" i="18"/>
  <c r="P660" i="18"/>
  <c r="P659" i="18"/>
  <c r="P658" i="18"/>
  <c r="P657" i="18"/>
  <c r="P656" i="18"/>
  <c r="P655" i="18"/>
  <c r="P654" i="18"/>
  <c r="P653" i="18"/>
  <c r="P652" i="18"/>
  <c r="P651" i="18"/>
  <c r="P650" i="18"/>
  <c r="P649" i="18"/>
  <c r="P648" i="18"/>
  <c r="P647" i="18"/>
  <c r="P646" i="18"/>
  <c r="P645" i="18"/>
  <c r="P644" i="18"/>
  <c r="P643" i="18"/>
  <c r="P642" i="18"/>
  <c r="P641" i="18"/>
  <c r="P640" i="18"/>
  <c r="P639" i="18"/>
  <c r="P638" i="18"/>
  <c r="P637" i="18"/>
  <c r="P636" i="18"/>
  <c r="P635" i="18"/>
  <c r="P634" i="18"/>
  <c r="P633" i="18"/>
  <c r="P632" i="18"/>
  <c r="P631" i="18"/>
  <c r="P630" i="18"/>
  <c r="P629" i="18"/>
  <c r="P628" i="18"/>
  <c r="P627" i="18"/>
  <c r="P626" i="18"/>
  <c r="P625" i="18"/>
  <c r="P624" i="18"/>
  <c r="P623" i="18"/>
  <c r="P622" i="18"/>
  <c r="P621" i="18"/>
  <c r="P620" i="18"/>
  <c r="P619" i="18"/>
  <c r="P618" i="18"/>
  <c r="P617" i="18"/>
  <c r="P616" i="18"/>
  <c r="P615" i="18"/>
  <c r="P614" i="18"/>
  <c r="P613" i="18"/>
  <c r="P612" i="18"/>
  <c r="P611" i="18"/>
  <c r="P610" i="18"/>
  <c r="P609" i="18"/>
  <c r="P608" i="18"/>
  <c r="P607" i="18"/>
  <c r="P606" i="18"/>
  <c r="P605" i="18"/>
  <c r="P604" i="18"/>
  <c r="P603" i="18"/>
  <c r="P602" i="18"/>
  <c r="P601" i="18"/>
  <c r="P600" i="18"/>
  <c r="P599" i="18"/>
  <c r="P598" i="18"/>
  <c r="P597" i="18"/>
  <c r="P596" i="18"/>
  <c r="P595" i="18"/>
  <c r="P594" i="18"/>
  <c r="P593" i="18"/>
  <c r="P592" i="18"/>
  <c r="P591" i="18"/>
  <c r="P590" i="18"/>
  <c r="P589" i="18"/>
  <c r="P588" i="18"/>
  <c r="P587" i="18"/>
  <c r="P586" i="18"/>
  <c r="P585" i="18"/>
  <c r="P584" i="18"/>
  <c r="P583" i="18"/>
  <c r="P582" i="18"/>
  <c r="P581" i="18"/>
  <c r="P580" i="18"/>
  <c r="P579" i="18"/>
  <c r="P578" i="18"/>
  <c r="P577" i="18"/>
  <c r="P576" i="18"/>
  <c r="P575" i="18"/>
  <c r="P574" i="18"/>
  <c r="P573" i="18"/>
  <c r="P572" i="18"/>
  <c r="P571" i="18"/>
  <c r="P570" i="18"/>
  <c r="P569" i="18"/>
  <c r="P568" i="18"/>
  <c r="P567" i="18"/>
  <c r="P566" i="18"/>
  <c r="P565" i="18"/>
  <c r="P564" i="18"/>
  <c r="P563" i="18"/>
  <c r="P562" i="18"/>
  <c r="P561" i="18"/>
  <c r="P560" i="18"/>
  <c r="P559" i="18"/>
  <c r="P558" i="18"/>
  <c r="P557" i="18"/>
  <c r="P556" i="18"/>
  <c r="P555" i="18"/>
  <c r="P554" i="18"/>
  <c r="P553" i="18"/>
  <c r="P552" i="18"/>
  <c r="P551" i="18"/>
  <c r="P550" i="18"/>
  <c r="P549" i="18"/>
  <c r="P548" i="18"/>
  <c r="P547" i="18"/>
  <c r="P546" i="18"/>
  <c r="P545" i="18"/>
  <c r="P544" i="18"/>
  <c r="P543" i="18"/>
  <c r="P542" i="18"/>
  <c r="P541" i="18"/>
  <c r="P540" i="18"/>
  <c r="P539" i="18"/>
  <c r="P538" i="18"/>
  <c r="P537" i="18"/>
  <c r="P536" i="18"/>
  <c r="P535" i="18"/>
  <c r="P534" i="18"/>
  <c r="P533" i="18"/>
  <c r="P532" i="18"/>
  <c r="P233" i="18"/>
  <c r="P232" i="18"/>
  <c r="P229" i="18"/>
  <c r="P228" i="18"/>
  <c r="P227" i="18"/>
  <c r="J352" i="18" l="1"/>
  <c r="J316" i="18"/>
  <c r="J442" i="18"/>
  <c r="J622" i="18"/>
  <c r="J304" i="18"/>
  <c r="J604" i="18"/>
  <c r="J658" i="18"/>
  <c r="J269" i="18"/>
  <c r="J340" i="18"/>
  <c r="J610" i="18"/>
  <c r="J322" i="18"/>
  <c r="J334" i="18"/>
  <c r="J254" i="18"/>
  <c r="J424" i="18"/>
  <c r="J646" i="18"/>
  <c r="R438" i="18"/>
  <c r="S438" i="18" s="1"/>
  <c r="J310" i="18"/>
  <c r="J605" i="18"/>
  <c r="S436" i="18"/>
  <c r="J592" i="18"/>
  <c r="J400" i="18"/>
  <c r="J647" i="18"/>
  <c r="J600" i="18"/>
  <c r="J259" i="18"/>
  <c r="J364" i="18"/>
  <c r="J376" i="18"/>
  <c r="J628" i="18"/>
  <c r="J328" i="18"/>
  <c r="J346" i="18"/>
  <c r="J406" i="18"/>
  <c r="J382" i="18"/>
  <c r="J418" i="18"/>
  <c r="J436" i="18"/>
  <c r="J430" i="18"/>
  <c r="J412" i="18"/>
  <c r="S439" i="18"/>
  <c r="R437" i="18"/>
  <c r="S437" i="18" s="1"/>
  <c r="R440" i="18"/>
  <c r="S440" i="18" s="1"/>
  <c r="J264" i="18"/>
  <c r="J370" i="18"/>
  <c r="J394" i="18"/>
  <c r="J358" i="18"/>
  <c r="J640" i="18"/>
  <c r="J388" i="18"/>
  <c r="J634" i="18"/>
  <c r="J652" i="18"/>
  <c r="J598" i="18"/>
  <c r="J616" i="18"/>
  <c r="P1792" i="18"/>
  <c r="S1792" i="18" s="1"/>
  <c r="P1791" i="18"/>
  <c r="S1791" i="18" s="1"/>
  <c r="P1790" i="18"/>
  <c r="S1790" i="18" s="1"/>
  <c r="P1789" i="18"/>
  <c r="S1789" i="18" s="1"/>
  <c r="P1654" i="18"/>
  <c r="S1654" i="18" s="1"/>
  <c r="J1654" i="18"/>
  <c r="P1653" i="18"/>
  <c r="S1653" i="18" s="1"/>
  <c r="J1653" i="18"/>
  <c r="P1652" i="18"/>
  <c r="S1652" i="18" s="1"/>
  <c r="J1652" i="18"/>
  <c r="P1651" i="18"/>
  <c r="S1651" i="18" s="1"/>
  <c r="J1651" i="18"/>
  <c r="P1650" i="18"/>
  <c r="S1650" i="18" s="1"/>
  <c r="P1649" i="18"/>
  <c r="S1649" i="18" s="1"/>
  <c r="P1648" i="18"/>
  <c r="S1648" i="18" s="1"/>
  <c r="P1647" i="18"/>
  <c r="S1647" i="18" s="1"/>
  <c r="P1646" i="18"/>
  <c r="S1646" i="18" s="1"/>
  <c r="J1646" i="18"/>
  <c r="P1645" i="18"/>
  <c r="S1645" i="18" s="1"/>
  <c r="J1645" i="18"/>
  <c r="J548" i="18"/>
  <c r="J547" i="18"/>
  <c r="J546" i="18"/>
  <c r="J545" i="18"/>
  <c r="J540" i="18"/>
  <c r="J539" i="18"/>
  <c r="S547" i="18"/>
  <c r="S546" i="18"/>
  <c r="S540" i="18"/>
  <c r="S539" i="18"/>
  <c r="J130" i="18"/>
  <c r="J129" i="18"/>
  <c r="J128" i="18"/>
  <c r="J127" i="18"/>
  <c r="J122" i="18"/>
  <c r="J121" i="18"/>
  <c r="P128" i="18"/>
  <c r="S128" i="18" s="1"/>
  <c r="P127" i="18"/>
  <c r="S127" i="18" s="1"/>
  <c r="P126" i="18"/>
  <c r="S126" i="18" s="1"/>
  <c r="P125" i="18"/>
  <c r="S125" i="18" s="1"/>
  <c r="P124" i="18"/>
  <c r="S124" i="18" s="1"/>
  <c r="P123" i="18"/>
  <c r="S123" i="18" s="1"/>
  <c r="P122" i="18"/>
  <c r="S122" i="18" s="1"/>
  <c r="J1789" i="18" l="1"/>
  <c r="J1647" i="18"/>
  <c r="J541" i="18"/>
  <c r="J123" i="18"/>
  <c r="P1680" i="18" l="1"/>
  <c r="S1680" i="18" s="1"/>
  <c r="J1680" i="18"/>
  <c r="P1679" i="18"/>
  <c r="S1679" i="18" s="1"/>
  <c r="J1679" i="18"/>
  <c r="P1678" i="18"/>
  <c r="S1678" i="18" s="1"/>
  <c r="J1678" i="18"/>
  <c r="J1681" i="18"/>
  <c r="P1681" i="18"/>
  <c r="S1681" i="18" s="1"/>
  <c r="J1682" i="18"/>
  <c r="P1682" i="18"/>
  <c r="S1682" i="18" s="1"/>
  <c r="J1773" i="18"/>
  <c r="J1774" i="18"/>
  <c r="J1775" i="18"/>
  <c r="P1774" i="18"/>
  <c r="P1773" i="18"/>
  <c r="P40" i="18"/>
  <c r="S40" i="18" s="1"/>
  <c r="O40" i="18"/>
  <c r="R620" i="18"/>
  <c r="R611" i="18"/>
  <c r="S611" i="18" l="1"/>
  <c r="S610" i="18"/>
  <c r="R614" i="18"/>
  <c r="S614" i="18" s="1"/>
  <c r="R618" i="18"/>
  <c r="S618" i="18" s="1"/>
  <c r="S620" i="18"/>
  <c r="S616" i="18"/>
  <c r="R619" i="18"/>
  <c r="S619" i="18" s="1"/>
  <c r="R613" i="18"/>
  <c r="S613" i="18" s="1"/>
  <c r="R612" i="18"/>
  <c r="S612" i="18" s="1"/>
  <c r="R617" i="18"/>
  <c r="S617" i="18" s="1"/>
  <c r="P333" i="18" l="1"/>
  <c r="P332" i="18"/>
  <c r="P331" i="18"/>
  <c r="P330" i="18"/>
  <c r="P329" i="18"/>
  <c r="P328" i="18"/>
  <c r="R332" i="18" s="1"/>
  <c r="P327" i="18"/>
  <c r="P326" i="18"/>
  <c r="P325" i="18"/>
  <c r="P324" i="18"/>
  <c r="P323" i="18"/>
  <c r="P322" i="18"/>
  <c r="S322" i="18" s="1"/>
  <c r="J665" i="18"/>
  <c r="J664" i="18"/>
  <c r="J479" i="18"/>
  <c r="J237" i="18"/>
  <c r="R324" i="18" l="1"/>
  <c r="S324" i="18" s="1"/>
  <c r="R323" i="18"/>
  <c r="S323" i="18" s="1"/>
  <c r="S332" i="18"/>
  <c r="R330" i="18"/>
  <c r="S330" i="18" s="1"/>
  <c r="R326" i="18"/>
  <c r="S326" i="18" s="1"/>
  <c r="R331" i="18"/>
  <c r="S331" i="18" s="1"/>
  <c r="R325" i="18"/>
  <c r="S325" i="18" s="1"/>
  <c r="R329" i="18"/>
  <c r="S329" i="18" s="1"/>
  <c r="S328" i="18"/>
  <c r="J571" i="18" l="1"/>
  <c r="J535" i="18"/>
  <c r="J534" i="18"/>
  <c r="J533" i="18"/>
  <c r="J532" i="18"/>
  <c r="S2656" i="18" l="1"/>
  <c r="S2657" i="18"/>
  <c r="S2658" i="18"/>
  <c r="S2659" i="18"/>
  <c r="S2660" i="18"/>
  <c r="S2661" i="18"/>
  <c r="S2662" i="18"/>
  <c r="S2663" i="18"/>
  <c r="S2664" i="18"/>
  <c r="S2665" i="18"/>
  <c r="S2666" i="18"/>
  <c r="S2667" i="18"/>
  <c r="S2668" i="18"/>
  <c r="S2669" i="18"/>
  <c r="S2670" i="18"/>
  <c r="S2671" i="18"/>
  <c r="L82" i="17"/>
  <c r="H82" i="17"/>
  <c r="G82" i="17"/>
  <c r="F82" i="17"/>
  <c r="E82" i="17"/>
  <c r="L81" i="17"/>
  <c r="H81" i="17"/>
  <c r="G81" i="17"/>
  <c r="F81" i="17"/>
  <c r="E81" i="17"/>
  <c r="L80" i="17"/>
  <c r="H80" i="17"/>
  <c r="G80" i="17"/>
  <c r="F80" i="17"/>
  <c r="E80" i="17"/>
  <c r="L79" i="17"/>
  <c r="H79" i="17"/>
  <c r="G79" i="17"/>
  <c r="F79" i="17"/>
  <c r="E79" i="17"/>
  <c r="L78" i="17"/>
  <c r="H78" i="17"/>
  <c r="G78" i="17"/>
  <c r="F78" i="17"/>
  <c r="E78" i="17"/>
  <c r="L77" i="17"/>
  <c r="H77" i="17"/>
  <c r="G77" i="17"/>
  <c r="F77" i="17"/>
  <c r="E77" i="17"/>
  <c r="L76" i="17"/>
  <c r="H76" i="17"/>
  <c r="G76" i="17"/>
  <c r="F76" i="17"/>
  <c r="E76" i="17"/>
  <c r="L75" i="17"/>
  <c r="H75" i="17"/>
  <c r="G75" i="17"/>
  <c r="F75" i="17"/>
  <c r="E75" i="17"/>
  <c r="L74" i="17"/>
  <c r="H74" i="17"/>
  <c r="G74" i="17"/>
  <c r="F74" i="17"/>
  <c r="E74" i="17"/>
  <c r="L73" i="17"/>
  <c r="H73" i="17"/>
  <c r="G73" i="17"/>
  <c r="F73" i="17"/>
  <c r="E73" i="17"/>
  <c r="L72" i="17"/>
  <c r="H72" i="17"/>
  <c r="G72" i="17"/>
  <c r="F72" i="17"/>
  <c r="E72" i="17"/>
  <c r="L71" i="17"/>
  <c r="H71" i="17"/>
  <c r="G71" i="17"/>
  <c r="F71" i="17"/>
  <c r="E71" i="17"/>
  <c r="L70" i="17"/>
  <c r="H70" i="17"/>
  <c r="G70" i="17"/>
  <c r="F70" i="17"/>
  <c r="E70" i="17"/>
  <c r="N69" i="17"/>
  <c r="L69" i="17"/>
  <c r="H69" i="17"/>
  <c r="G69" i="17"/>
  <c r="F69" i="17"/>
  <c r="E69" i="17"/>
  <c r="N68" i="17"/>
  <c r="L68" i="17"/>
  <c r="H68" i="17"/>
  <c r="G68" i="17"/>
  <c r="F68" i="17"/>
  <c r="E68" i="17"/>
  <c r="N67" i="17"/>
  <c r="L67" i="17"/>
  <c r="H67" i="17"/>
  <c r="G67" i="17"/>
  <c r="F67" i="17"/>
  <c r="E67" i="17"/>
  <c r="N66" i="17"/>
  <c r="L66" i="17"/>
  <c r="H66" i="17"/>
  <c r="G66" i="17"/>
  <c r="F66" i="17"/>
  <c r="E66" i="17"/>
  <c r="N65" i="17"/>
  <c r="L65" i="17"/>
  <c r="H65" i="17"/>
  <c r="G65" i="17"/>
  <c r="F65" i="17"/>
  <c r="E65" i="17"/>
  <c r="N64" i="17"/>
  <c r="L64" i="17"/>
  <c r="H64" i="17"/>
  <c r="G64" i="17"/>
  <c r="F64" i="17"/>
  <c r="E64" i="17"/>
  <c r="W63" i="17"/>
  <c r="R63" i="17"/>
  <c r="N63" i="17"/>
  <c r="L63" i="17"/>
  <c r="H63" i="17"/>
  <c r="G63" i="17"/>
  <c r="F63" i="17"/>
  <c r="E63" i="17"/>
  <c r="W62" i="17"/>
  <c r="R62" i="17"/>
  <c r="N62" i="17"/>
  <c r="L62" i="17"/>
  <c r="H62" i="17"/>
  <c r="G62" i="17"/>
  <c r="F62" i="17"/>
  <c r="E62" i="17"/>
  <c r="W61" i="17"/>
  <c r="R61" i="17"/>
  <c r="G61" i="17" s="1"/>
  <c r="N61" i="17"/>
  <c r="L61" i="17"/>
  <c r="H61" i="17"/>
  <c r="E61" i="17"/>
  <c r="N60" i="17"/>
  <c r="L60" i="17"/>
  <c r="E60" i="17"/>
  <c r="R59" i="17"/>
  <c r="R60" i="17" s="1"/>
  <c r="W60" i="17" s="1"/>
  <c r="P59" i="17"/>
  <c r="N59" i="17"/>
  <c r="L59" i="17"/>
  <c r="E59" i="17"/>
  <c r="W58" i="17"/>
  <c r="R58" i="17"/>
  <c r="G58" i="17" s="1"/>
  <c r="N58" i="17"/>
  <c r="L58" i="17"/>
  <c r="H58" i="17"/>
  <c r="F58" i="17"/>
  <c r="E58" i="17"/>
  <c r="W57" i="17"/>
  <c r="R57" i="17"/>
  <c r="H57" i="17" s="1"/>
  <c r="N57" i="17"/>
  <c r="L57" i="17"/>
  <c r="G57" i="17"/>
  <c r="F57" i="17"/>
  <c r="E57" i="17"/>
  <c r="W56" i="17"/>
  <c r="R56" i="17"/>
  <c r="Q56" i="17"/>
  <c r="H56" i="17" s="1"/>
  <c r="O56" i="17"/>
  <c r="G56" i="17" s="1"/>
  <c r="N56" i="17"/>
  <c r="L56" i="17"/>
  <c r="E56" i="17"/>
  <c r="W55" i="17"/>
  <c r="R55" i="17"/>
  <c r="N55" i="17"/>
  <c r="L55" i="17"/>
  <c r="H55" i="17"/>
  <c r="G55" i="17"/>
  <c r="F55" i="17"/>
  <c r="E55" i="17"/>
  <c r="R54" i="17"/>
  <c r="H54" i="17" s="1"/>
  <c r="N54" i="17"/>
  <c r="L54" i="17"/>
  <c r="E54" i="17"/>
  <c r="R53" i="17"/>
  <c r="P53" i="17"/>
  <c r="N53" i="17"/>
  <c r="L53" i="17"/>
  <c r="E53" i="17"/>
  <c r="R52" i="17"/>
  <c r="P52" i="17"/>
  <c r="G52" i="17" s="1"/>
  <c r="N52" i="17"/>
  <c r="L52" i="17"/>
  <c r="E52" i="17"/>
  <c r="T51" i="17"/>
  <c r="R51" i="17"/>
  <c r="Q51" i="17"/>
  <c r="P51" i="17"/>
  <c r="H51" i="17" s="1"/>
  <c r="O51" i="17"/>
  <c r="G51" i="17" s="1"/>
  <c r="N51" i="17"/>
  <c r="L51" i="17"/>
  <c r="E51" i="17"/>
  <c r="R50" i="17"/>
  <c r="H50" i="17" s="1"/>
  <c r="P50" i="17"/>
  <c r="N50" i="17"/>
  <c r="L50" i="17"/>
  <c r="F50" i="17"/>
  <c r="E50" i="17"/>
  <c r="P49" i="17"/>
  <c r="N49" i="17"/>
  <c r="L49" i="17"/>
  <c r="E49" i="17"/>
  <c r="W48" i="17"/>
  <c r="T48" i="17"/>
  <c r="F48" i="17" s="1"/>
  <c r="R48" i="17"/>
  <c r="H48" i="17" s="1"/>
  <c r="O48" i="17"/>
  <c r="N48" i="17"/>
  <c r="L48" i="17"/>
  <c r="E48" i="17"/>
  <c r="W47" i="17"/>
  <c r="T47" i="17"/>
  <c r="R47" i="17"/>
  <c r="H47" i="17" s="1"/>
  <c r="O47" i="17"/>
  <c r="G47" i="17" s="1"/>
  <c r="N47" i="17"/>
  <c r="L47" i="17"/>
  <c r="E47" i="17"/>
  <c r="W46" i="17"/>
  <c r="T46" i="17"/>
  <c r="R46" i="17"/>
  <c r="Q46" i="17"/>
  <c r="O46" i="17"/>
  <c r="L46" i="17" s="1"/>
  <c r="N46" i="17"/>
  <c r="E46" i="17"/>
  <c r="W45" i="17"/>
  <c r="T45" i="17"/>
  <c r="R45" i="17"/>
  <c r="O45" i="17"/>
  <c r="G45" i="17" s="1"/>
  <c r="N45" i="17"/>
  <c r="H45" i="17"/>
  <c r="W44" i="17"/>
  <c r="T44" i="17"/>
  <c r="R44" i="17"/>
  <c r="H44" i="17" s="1"/>
  <c r="O44" i="17"/>
  <c r="L44" i="17" s="1"/>
  <c r="N44" i="17"/>
  <c r="R43" i="17"/>
  <c r="N43" i="17"/>
  <c r="L43" i="17"/>
  <c r="E43" i="17"/>
  <c r="W42" i="17"/>
  <c r="R42" i="17"/>
  <c r="G42" i="17" s="1"/>
  <c r="N42" i="17"/>
  <c r="L42" i="17"/>
  <c r="H42" i="17"/>
  <c r="F42" i="17"/>
  <c r="E42" i="17"/>
  <c r="W41" i="17"/>
  <c r="R41" i="17"/>
  <c r="H41" i="17" s="1"/>
  <c r="N41" i="17"/>
  <c r="L41" i="17"/>
  <c r="G41" i="17"/>
  <c r="F41" i="17"/>
  <c r="E41" i="17"/>
  <c r="R40" i="17"/>
  <c r="W40" i="17" s="1"/>
  <c r="N40" i="17"/>
  <c r="N35" i="17" s="1"/>
  <c r="L40" i="17"/>
  <c r="H40" i="17"/>
  <c r="G40" i="17"/>
  <c r="F40" i="17"/>
  <c r="E40" i="17"/>
  <c r="R39" i="17"/>
  <c r="G39" i="17" s="1"/>
  <c r="N39" i="17"/>
  <c r="N34" i="17" s="1"/>
  <c r="L39" i="17"/>
  <c r="H39" i="17"/>
  <c r="E39" i="17"/>
  <c r="W38" i="17"/>
  <c r="R38" i="17"/>
  <c r="H38" i="17" s="1"/>
  <c r="N38" i="17"/>
  <c r="L38" i="17"/>
  <c r="E38" i="17"/>
  <c r="W37" i="17"/>
  <c r="R37" i="17"/>
  <c r="N37" i="17"/>
  <c r="L37" i="17"/>
  <c r="H37" i="17"/>
  <c r="G37" i="17"/>
  <c r="F37" i="17"/>
  <c r="E37" i="17"/>
  <c r="R36" i="17"/>
  <c r="H36" i="17" s="1"/>
  <c r="N36" i="17"/>
  <c r="L36" i="17"/>
  <c r="E36" i="17"/>
  <c r="R35" i="17"/>
  <c r="L35" i="17"/>
  <c r="E35" i="17"/>
  <c r="R34" i="17"/>
  <c r="G34" i="17" s="1"/>
  <c r="L34" i="17"/>
  <c r="H34" i="17"/>
  <c r="F34" i="17"/>
  <c r="E34" i="17"/>
  <c r="R33" i="17"/>
  <c r="N33" i="17"/>
  <c r="L33" i="17"/>
  <c r="H33" i="17"/>
  <c r="G33" i="17"/>
  <c r="F33" i="17"/>
  <c r="E33" i="17"/>
  <c r="R32" i="17"/>
  <c r="L32" i="17"/>
  <c r="H32" i="17"/>
  <c r="G32" i="17"/>
  <c r="F32" i="17"/>
  <c r="E32" i="17"/>
  <c r="T31" i="17"/>
  <c r="O31" i="17"/>
  <c r="N31" i="17"/>
  <c r="L31" i="17"/>
  <c r="E31" i="17"/>
  <c r="T30" i="17"/>
  <c r="R30" i="17"/>
  <c r="O30" i="17"/>
  <c r="L30" i="17" s="1"/>
  <c r="N30" i="17"/>
  <c r="E30" i="17"/>
  <c r="T29" i="17"/>
  <c r="O29" i="17"/>
  <c r="N29" i="17"/>
  <c r="R29" i="17" s="1"/>
  <c r="H29" i="17" s="1"/>
  <c r="T28" i="17"/>
  <c r="O28" i="17"/>
  <c r="L28" i="17" s="1"/>
  <c r="N28" i="17"/>
  <c r="W27" i="17"/>
  <c r="W32" i="17" s="1"/>
  <c r="T27" i="17"/>
  <c r="R27" i="17"/>
  <c r="H27" i="17" s="1"/>
  <c r="O27" i="17"/>
  <c r="N27" i="17"/>
  <c r="L27" i="17"/>
  <c r="F27" i="17"/>
  <c r="E27" i="17"/>
  <c r="L26" i="17"/>
  <c r="E26" i="17"/>
  <c r="L25" i="17"/>
  <c r="E25" i="17"/>
  <c r="W24" i="17"/>
  <c r="R24" i="17"/>
  <c r="P24" i="17"/>
  <c r="L24" i="17"/>
  <c r="E24" i="17"/>
  <c r="W23" i="17"/>
  <c r="L23" i="17"/>
  <c r="E23" i="17"/>
  <c r="P22" i="17"/>
  <c r="L22" i="17"/>
  <c r="E22" i="17"/>
  <c r="P21" i="17"/>
  <c r="L21" i="17"/>
  <c r="E21" i="17"/>
  <c r="R20" i="17"/>
  <c r="P20" i="17"/>
  <c r="H20" i="17" s="1"/>
  <c r="L20" i="17"/>
  <c r="E20" i="17"/>
  <c r="P19" i="17"/>
  <c r="L19" i="17"/>
  <c r="E19" i="17"/>
  <c r="W18" i="17"/>
  <c r="R18" i="17"/>
  <c r="P18" i="17"/>
  <c r="H18" i="17" s="1"/>
  <c r="W17" i="17"/>
  <c r="R17" i="17"/>
  <c r="P17" i="17"/>
  <c r="N17" i="17"/>
  <c r="H17" i="17"/>
  <c r="W16" i="17"/>
  <c r="R16" i="17"/>
  <c r="H16" i="17" s="1"/>
  <c r="P16" i="17"/>
  <c r="O16" i="17"/>
  <c r="L16" i="17" s="1"/>
  <c r="N16" i="17"/>
  <c r="W15" i="17"/>
  <c r="R15" i="17"/>
  <c r="H15" i="17" s="1"/>
  <c r="P15" i="17"/>
  <c r="W14" i="17"/>
  <c r="W26" i="17" s="1"/>
  <c r="R14" i="17"/>
  <c r="R26" i="17" s="1"/>
  <c r="P14" i="17"/>
  <c r="G14" i="17" s="1"/>
  <c r="L14" i="17"/>
  <c r="H14" i="17"/>
  <c r="E14" i="17"/>
  <c r="W13" i="17"/>
  <c r="W25" i="17" s="1"/>
  <c r="R13" i="17"/>
  <c r="H13" i="17" s="1"/>
  <c r="P13" i="17"/>
  <c r="P25" i="17" s="1"/>
  <c r="L13" i="17"/>
  <c r="F13" i="17"/>
  <c r="E13" i="17"/>
  <c r="P12" i="17"/>
  <c r="N12" i="17"/>
  <c r="N24" i="17" s="1"/>
  <c r="L12" i="17"/>
  <c r="H12" i="17"/>
  <c r="G12" i="17"/>
  <c r="F12" i="17"/>
  <c r="E12" i="17"/>
  <c r="W11" i="17"/>
  <c r="R11" i="17"/>
  <c r="R23" i="17" s="1"/>
  <c r="P11" i="17"/>
  <c r="L11" i="17"/>
  <c r="E11" i="17"/>
  <c r="R10" i="17"/>
  <c r="L10" i="17"/>
  <c r="E10" i="17"/>
  <c r="R9" i="17"/>
  <c r="L9" i="17"/>
  <c r="E9" i="17"/>
  <c r="N8" i="17"/>
  <c r="L8" i="17"/>
  <c r="H8" i="17"/>
  <c r="G8" i="17"/>
  <c r="F8" i="17"/>
  <c r="E8" i="17"/>
  <c r="R7" i="17"/>
  <c r="H7" i="17" s="1"/>
  <c r="L7" i="17"/>
  <c r="E7" i="17"/>
  <c r="T6" i="17"/>
  <c r="O6" i="17"/>
  <c r="N6" i="17"/>
  <c r="N18" i="17" s="1"/>
  <c r="H6" i="17"/>
  <c r="T5" i="17"/>
  <c r="N5" i="17"/>
  <c r="H5" i="17"/>
  <c r="E5" i="17"/>
  <c r="O4" i="17"/>
  <c r="O5" i="17" s="1"/>
  <c r="N4" i="17"/>
  <c r="H4" i="17"/>
  <c r="F4" i="17"/>
  <c r="E4" i="17"/>
  <c r="T3" i="17"/>
  <c r="N3" i="17"/>
  <c r="N15" i="17" s="1"/>
  <c r="H3" i="17"/>
  <c r="J2623" i="18"/>
  <c r="J2622" i="18"/>
  <c r="J2621" i="18"/>
  <c r="J2620" i="18"/>
  <c r="J2619" i="18"/>
  <c r="J2618" i="18"/>
  <c r="J2617" i="18"/>
  <c r="J2616" i="18"/>
  <c r="J2615" i="18"/>
  <c r="J2614" i="18"/>
  <c r="J2613" i="18"/>
  <c r="J2612" i="18"/>
  <c r="J2611" i="18"/>
  <c r="P2613" i="18"/>
  <c r="S2613" i="18" s="1"/>
  <c r="J2577" i="18"/>
  <c r="J2576" i="18"/>
  <c r="J2575" i="18"/>
  <c r="J2574" i="18"/>
  <c r="J2573" i="18"/>
  <c r="J2571" i="18"/>
  <c r="J2570" i="18"/>
  <c r="J2569" i="18"/>
  <c r="J2568" i="18"/>
  <c r="J2567" i="18"/>
  <c r="J2565" i="18"/>
  <c r="J2564" i="18"/>
  <c r="J2563" i="18"/>
  <c r="J2562" i="18"/>
  <c r="J2561" i="18"/>
  <c r="J2559" i="18"/>
  <c r="J2558" i="18"/>
  <c r="J2557" i="18"/>
  <c r="J2556" i="18"/>
  <c r="J2555" i="18"/>
  <c r="J2553" i="18"/>
  <c r="J2552" i="18"/>
  <c r="J2551" i="18"/>
  <c r="J2550" i="18"/>
  <c r="J2549" i="18"/>
  <c r="J2547" i="18"/>
  <c r="J2546" i="18"/>
  <c r="J2545" i="18"/>
  <c r="J2544" i="18"/>
  <c r="J2543" i="18"/>
  <c r="J2541" i="18"/>
  <c r="J2540" i="18"/>
  <c r="J2539" i="18"/>
  <c r="J2538" i="18"/>
  <c r="J2537" i="18"/>
  <c r="J2535" i="18"/>
  <c r="J2534" i="18"/>
  <c r="J2533" i="18"/>
  <c r="J2532" i="18"/>
  <c r="J2531" i="18"/>
  <c r="J2529" i="18"/>
  <c r="J2528" i="18"/>
  <c r="J2527" i="18"/>
  <c r="J2526" i="18"/>
  <c r="J2525" i="18"/>
  <c r="J2523" i="18"/>
  <c r="J2522" i="18"/>
  <c r="J2521" i="18"/>
  <c r="J2520" i="18"/>
  <c r="J2519" i="18"/>
  <c r="J2052" i="18"/>
  <c r="J2051" i="18"/>
  <c r="J2050" i="18"/>
  <c r="J1794" i="18"/>
  <c r="J1793" i="18"/>
  <c r="J1788" i="18"/>
  <c r="J1787" i="18"/>
  <c r="J1786" i="18"/>
  <c r="J1785" i="18"/>
  <c r="J1780" i="18"/>
  <c r="J1779" i="18"/>
  <c r="J1778" i="18"/>
  <c r="J1777" i="18"/>
  <c r="J1776" i="18"/>
  <c r="J1772" i="18"/>
  <c r="J1771" i="18"/>
  <c r="J1749" i="18"/>
  <c r="J1748" i="18"/>
  <c r="J1747" i="18"/>
  <c r="J1746" i="18"/>
  <c r="J1745" i="18"/>
  <c r="J1744" i="18"/>
  <c r="J1743" i="18"/>
  <c r="J1742" i="18"/>
  <c r="J1741" i="18"/>
  <c r="J1740" i="18"/>
  <c r="J1739" i="18"/>
  <c r="J1738" i="18"/>
  <c r="J1737" i="18"/>
  <c r="J1736" i="18"/>
  <c r="J1735" i="18"/>
  <c r="J1734" i="18"/>
  <c r="P1911" i="18"/>
  <c r="P1910" i="18"/>
  <c r="P1909" i="18"/>
  <c r="P1908" i="18"/>
  <c r="S1908" i="18" s="1"/>
  <c r="P1907" i="18"/>
  <c r="P1906" i="18"/>
  <c r="P1905" i="18"/>
  <c r="P1904" i="18"/>
  <c r="S1904" i="18" s="1"/>
  <c r="P1903" i="18"/>
  <c r="P1902" i="18"/>
  <c r="P1901" i="18"/>
  <c r="P1900" i="18"/>
  <c r="S1900" i="18" s="1"/>
  <c r="P1899" i="18"/>
  <c r="P1898" i="18"/>
  <c r="P1897" i="18"/>
  <c r="P1896" i="18"/>
  <c r="S1896" i="18" s="1"/>
  <c r="P1895" i="18"/>
  <c r="P1894" i="18"/>
  <c r="P1893" i="18"/>
  <c r="P1892" i="18"/>
  <c r="S1892" i="18" s="1"/>
  <c r="P1891" i="18"/>
  <c r="P1890" i="18"/>
  <c r="P1889" i="18"/>
  <c r="P1888" i="18"/>
  <c r="S1888" i="18" s="1"/>
  <c r="P1887" i="18"/>
  <c r="P1886" i="18"/>
  <c r="P1885" i="18"/>
  <c r="P1884" i="18"/>
  <c r="S1884" i="18" s="1"/>
  <c r="P1883" i="18"/>
  <c r="P1882" i="18"/>
  <c r="P1881" i="18"/>
  <c r="P1880" i="18"/>
  <c r="S1880" i="18" s="1"/>
  <c r="P1879" i="18"/>
  <c r="P1878" i="18"/>
  <c r="P1877" i="18"/>
  <c r="P1876" i="18"/>
  <c r="S1876" i="18" s="1"/>
  <c r="P1875" i="18"/>
  <c r="P1874" i="18"/>
  <c r="P1873" i="18"/>
  <c r="P1872" i="18"/>
  <c r="S1872" i="18" s="1"/>
  <c r="P2070" i="18"/>
  <c r="K2070" i="18"/>
  <c r="O2070" i="18" s="1"/>
  <c r="P2069" i="18"/>
  <c r="K2069" i="18"/>
  <c r="O2069" i="18" s="1"/>
  <c r="P2068" i="18"/>
  <c r="K2068" i="18"/>
  <c r="O2068" i="18" s="1"/>
  <c r="P2067" i="18"/>
  <c r="O2067" i="18"/>
  <c r="K2067" i="18"/>
  <c r="P2066" i="18"/>
  <c r="S2066" i="18" s="1"/>
  <c r="J1699" i="18"/>
  <c r="J1698" i="18"/>
  <c r="J1697" i="18"/>
  <c r="J1696" i="18"/>
  <c r="J1695" i="18"/>
  <c r="J1694" i="18"/>
  <c r="J1693" i="18"/>
  <c r="J1692" i="18"/>
  <c r="J1691" i="18"/>
  <c r="J1690" i="18"/>
  <c r="J1689" i="18"/>
  <c r="J1688" i="18"/>
  <c r="J1687" i="18"/>
  <c r="J1686" i="18"/>
  <c r="J1685" i="18"/>
  <c r="J1684" i="18"/>
  <c r="J1683" i="18"/>
  <c r="J1677" i="18"/>
  <c r="J1676" i="18"/>
  <c r="J1675" i="18"/>
  <c r="J1644" i="18"/>
  <c r="J1643" i="18"/>
  <c r="J1642" i="18"/>
  <c r="J1641" i="18"/>
  <c r="J1640" i="18"/>
  <c r="J1639" i="18"/>
  <c r="J1604" i="18"/>
  <c r="J1603" i="18"/>
  <c r="J1602" i="18"/>
  <c r="J1601" i="18"/>
  <c r="J1600" i="18"/>
  <c r="J1599" i="18"/>
  <c r="J1598" i="18"/>
  <c r="J1597" i="18"/>
  <c r="J1596" i="18"/>
  <c r="J1595" i="18"/>
  <c r="J1594" i="18"/>
  <c r="J1593" i="18"/>
  <c r="J1592" i="18"/>
  <c r="J1591" i="18"/>
  <c r="J1590" i="18"/>
  <c r="J1589" i="18"/>
  <c r="J1588" i="18"/>
  <c r="J1587" i="18"/>
  <c r="J1586" i="18"/>
  <c r="J1585" i="18"/>
  <c r="J1584" i="18"/>
  <c r="J1583" i="18"/>
  <c r="J1582" i="18"/>
  <c r="J1581" i="18"/>
  <c r="J1580" i="18"/>
  <c r="J1579" i="18"/>
  <c r="J1578" i="18"/>
  <c r="J1577" i="18"/>
  <c r="J1576" i="18"/>
  <c r="J1575" i="18"/>
  <c r="J1574" i="18"/>
  <c r="J1573" i="18"/>
  <c r="J1572" i="18"/>
  <c r="J1571" i="18"/>
  <c r="J1570" i="18"/>
  <c r="J1569" i="18"/>
  <c r="J1568" i="18"/>
  <c r="J1567" i="18"/>
  <c r="J1566" i="18"/>
  <c r="J1565" i="18"/>
  <c r="J1564" i="18"/>
  <c r="J1563" i="18"/>
  <c r="J1562" i="18"/>
  <c r="J1561" i="18"/>
  <c r="J1560" i="18"/>
  <c r="J1559" i="18"/>
  <c r="J1558" i="18"/>
  <c r="J1557" i="18"/>
  <c r="J1556" i="18"/>
  <c r="J1555" i="18"/>
  <c r="J1554" i="18"/>
  <c r="J1553" i="18"/>
  <c r="J1552" i="18"/>
  <c r="J1551" i="18"/>
  <c r="J1550" i="18"/>
  <c r="J1549" i="18"/>
  <c r="J1548" i="18"/>
  <c r="J1547" i="18"/>
  <c r="J1546" i="18"/>
  <c r="J1545" i="18"/>
  <c r="J1544" i="18"/>
  <c r="J1543" i="18"/>
  <c r="J1542" i="18"/>
  <c r="J1541" i="18"/>
  <c r="J1540" i="18"/>
  <c r="J1539" i="18"/>
  <c r="J1538" i="18"/>
  <c r="J1537" i="18"/>
  <c r="J1536" i="18"/>
  <c r="J1535" i="18"/>
  <c r="J1534" i="18"/>
  <c r="J1533" i="18"/>
  <c r="J1532" i="18"/>
  <c r="J1531" i="18"/>
  <c r="J1530" i="18"/>
  <c r="J1529" i="18"/>
  <c r="J1528" i="18"/>
  <c r="J1527" i="18"/>
  <c r="J1526" i="18"/>
  <c r="J1525" i="18"/>
  <c r="J1524" i="18"/>
  <c r="J1523" i="18"/>
  <c r="J1522" i="18"/>
  <c r="J1521" i="18"/>
  <c r="J1520" i="18"/>
  <c r="J1519" i="18"/>
  <c r="J1518" i="18"/>
  <c r="J1517" i="18"/>
  <c r="J1516" i="18"/>
  <c r="J1515" i="18"/>
  <c r="J1514" i="18"/>
  <c r="J1513" i="18"/>
  <c r="J1512" i="18"/>
  <c r="J1511" i="18"/>
  <c r="J1510" i="18"/>
  <c r="J1509" i="18"/>
  <c r="J1508" i="18"/>
  <c r="J1507" i="18"/>
  <c r="J1506" i="18"/>
  <c r="J1505" i="18"/>
  <c r="J1504" i="18"/>
  <c r="J1503" i="18"/>
  <c r="J1502" i="18"/>
  <c r="J1501" i="18"/>
  <c r="J1500" i="18"/>
  <c r="J1499" i="18"/>
  <c r="J1498" i="18"/>
  <c r="J1497" i="18"/>
  <c r="J1496" i="18"/>
  <c r="J1495" i="18"/>
  <c r="J1494" i="18"/>
  <c r="J1493" i="18"/>
  <c r="J1492" i="18"/>
  <c r="J1491" i="18"/>
  <c r="J1490" i="18"/>
  <c r="J1489" i="18"/>
  <c r="J1488" i="18"/>
  <c r="J1487" i="18"/>
  <c r="J1486" i="18"/>
  <c r="J1485" i="18"/>
  <c r="J1484" i="18"/>
  <c r="J1483" i="18"/>
  <c r="J1482" i="18"/>
  <c r="J1481" i="18"/>
  <c r="J1480" i="18"/>
  <c r="J1479" i="18"/>
  <c r="J1478" i="18"/>
  <c r="J1477" i="18"/>
  <c r="J1476" i="18"/>
  <c r="J1475" i="18"/>
  <c r="J1474" i="18"/>
  <c r="J1473" i="18"/>
  <c r="J1472" i="18"/>
  <c r="J1471" i="18"/>
  <c r="J1470" i="18"/>
  <c r="J1469" i="18"/>
  <c r="J1468" i="18"/>
  <c r="J1467" i="18"/>
  <c r="J1466" i="18"/>
  <c r="J1465" i="18"/>
  <c r="J1464" i="18"/>
  <c r="J1463" i="18"/>
  <c r="J1462" i="18"/>
  <c r="J1461" i="18"/>
  <c r="J1460" i="18"/>
  <c r="J1459" i="18"/>
  <c r="J1458" i="18"/>
  <c r="J1457" i="18"/>
  <c r="J1456" i="18"/>
  <c r="J1455" i="18"/>
  <c r="J1454" i="18"/>
  <c r="J1453" i="18"/>
  <c r="J1452" i="18"/>
  <c r="J1451" i="18"/>
  <c r="J1450" i="18"/>
  <c r="J1449" i="18"/>
  <c r="J1448" i="18"/>
  <c r="J1447" i="18"/>
  <c r="J1446" i="18"/>
  <c r="J1445" i="18"/>
  <c r="J1444" i="18"/>
  <c r="J1443" i="18"/>
  <c r="J1442" i="18"/>
  <c r="J1441" i="18"/>
  <c r="J1440" i="18"/>
  <c r="J1439" i="18"/>
  <c r="J1438" i="18"/>
  <c r="J1437" i="18"/>
  <c r="J1436" i="18"/>
  <c r="J1435" i="18"/>
  <c r="J1434" i="18"/>
  <c r="J1433" i="18"/>
  <c r="J1432" i="18"/>
  <c r="J1431" i="18"/>
  <c r="J1430" i="18"/>
  <c r="J1429" i="18"/>
  <c r="J1428" i="18"/>
  <c r="J1427" i="18"/>
  <c r="J1426" i="18"/>
  <c r="J1425" i="18"/>
  <c r="J1424" i="18"/>
  <c r="J1423" i="18"/>
  <c r="J1422" i="18"/>
  <c r="J1421" i="18"/>
  <c r="J1420" i="18"/>
  <c r="J1419" i="18"/>
  <c r="J1418" i="18"/>
  <c r="J1417" i="18"/>
  <c r="J1416" i="18"/>
  <c r="J1415" i="18"/>
  <c r="J1414" i="18"/>
  <c r="J1413" i="18"/>
  <c r="J1412" i="18"/>
  <c r="J1411" i="18"/>
  <c r="J1410" i="18"/>
  <c r="J1409" i="18"/>
  <c r="J1408" i="18"/>
  <c r="J1407" i="18"/>
  <c r="J1406" i="18"/>
  <c r="J1405" i="18"/>
  <c r="J1404" i="18"/>
  <c r="J1403" i="18"/>
  <c r="J1402" i="18"/>
  <c r="J1401" i="18"/>
  <c r="J1400" i="18"/>
  <c r="J1399" i="18"/>
  <c r="J1398" i="18"/>
  <c r="J1397" i="18"/>
  <c r="J1396" i="18"/>
  <c r="J1395" i="18"/>
  <c r="J1394" i="18"/>
  <c r="J1393" i="18"/>
  <c r="J1392" i="18"/>
  <c r="J1391" i="18"/>
  <c r="J1390" i="18"/>
  <c r="J1389" i="18"/>
  <c r="J1388" i="18"/>
  <c r="J1387" i="18"/>
  <c r="J1386" i="18"/>
  <c r="J1385" i="18"/>
  <c r="J1384" i="18"/>
  <c r="J1383" i="18"/>
  <c r="J1382" i="18"/>
  <c r="J1381" i="18"/>
  <c r="J1380" i="18"/>
  <c r="J1379" i="18"/>
  <c r="J1378" i="18"/>
  <c r="J1377" i="18"/>
  <c r="J1376" i="18"/>
  <c r="J1375" i="18"/>
  <c r="J1374" i="18"/>
  <c r="J1373" i="18"/>
  <c r="J1372" i="18"/>
  <c r="J1371" i="18"/>
  <c r="J1370" i="18"/>
  <c r="J1369" i="18"/>
  <c r="J1368" i="18"/>
  <c r="J1367" i="18"/>
  <c r="J1366" i="18"/>
  <c r="J1365" i="18"/>
  <c r="J1364" i="18"/>
  <c r="J1363" i="18"/>
  <c r="J1362" i="18"/>
  <c r="J1361" i="18"/>
  <c r="J1360" i="18"/>
  <c r="J1359" i="18"/>
  <c r="J1358" i="18"/>
  <c r="J1357" i="18"/>
  <c r="J1356" i="18"/>
  <c r="J1355" i="18"/>
  <c r="J1354" i="18"/>
  <c r="J1353" i="18"/>
  <c r="J1352" i="18"/>
  <c r="J1351" i="18"/>
  <c r="J1350" i="18"/>
  <c r="J1349" i="18"/>
  <c r="J1348" i="18"/>
  <c r="J1347" i="18"/>
  <c r="J1346" i="18"/>
  <c r="J1345" i="18"/>
  <c r="J1344" i="18"/>
  <c r="J1343" i="18"/>
  <c r="J1342" i="18"/>
  <c r="J1341" i="18"/>
  <c r="J1340" i="18"/>
  <c r="J1339" i="18"/>
  <c r="J1338" i="18"/>
  <c r="J1337" i="18"/>
  <c r="J1336" i="18"/>
  <c r="J1335" i="18"/>
  <c r="J1334" i="18"/>
  <c r="J1333" i="18"/>
  <c r="J1332" i="18"/>
  <c r="J1331" i="18"/>
  <c r="J1330" i="18"/>
  <c r="J1329" i="18"/>
  <c r="J1328" i="18"/>
  <c r="J1327" i="18"/>
  <c r="J1326" i="18"/>
  <c r="J1325" i="18"/>
  <c r="J1324" i="18"/>
  <c r="J1323" i="18"/>
  <c r="J1322" i="18"/>
  <c r="J1321" i="18"/>
  <c r="J1320" i="18"/>
  <c r="J1319" i="18"/>
  <c r="J1318" i="18"/>
  <c r="J1317" i="18"/>
  <c r="J1316" i="18"/>
  <c r="J1315" i="18"/>
  <c r="J1314" i="18"/>
  <c r="J1313" i="18"/>
  <c r="J1312" i="18"/>
  <c r="J1311" i="18"/>
  <c r="J1310" i="18"/>
  <c r="J1309" i="18"/>
  <c r="J1308" i="18"/>
  <c r="J1307" i="18"/>
  <c r="J1306" i="18"/>
  <c r="J1305" i="18"/>
  <c r="J1304" i="18"/>
  <c r="J1303" i="18"/>
  <c r="J1302" i="18"/>
  <c r="J1301" i="18"/>
  <c r="J1300" i="18"/>
  <c r="J1299" i="18"/>
  <c r="J1298" i="18"/>
  <c r="J1297" i="18"/>
  <c r="J1296" i="18"/>
  <c r="J1295" i="18"/>
  <c r="J1294" i="18"/>
  <c r="J1293" i="18"/>
  <c r="J1292" i="18"/>
  <c r="J1291" i="18"/>
  <c r="J1290" i="18"/>
  <c r="J1289" i="18"/>
  <c r="J1288" i="18"/>
  <c r="J1287" i="18"/>
  <c r="J1286" i="18"/>
  <c r="J1285" i="18"/>
  <c r="J1284" i="18"/>
  <c r="J1283" i="18"/>
  <c r="J1282" i="18"/>
  <c r="J1281" i="18"/>
  <c r="J1280" i="18"/>
  <c r="J1279" i="18"/>
  <c r="J1278" i="18"/>
  <c r="J1277" i="18"/>
  <c r="J1276" i="18"/>
  <c r="J1275" i="18"/>
  <c r="J1274" i="18"/>
  <c r="J1273" i="18"/>
  <c r="J1272" i="18"/>
  <c r="J1271" i="18"/>
  <c r="J1270" i="18"/>
  <c r="J1269" i="18"/>
  <c r="J1268" i="18"/>
  <c r="J1267" i="18"/>
  <c r="J1266" i="18"/>
  <c r="J1265" i="18"/>
  <c r="J1264" i="18"/>
  <c r="J1263" i="18"/>
  <c r="J1262" i="18"/>
  <c r="J1261" i="18"/>
  <c r="J1260" i="18"/>
  <c r="J1259" i="18"/>
  <c r="J1258" i="18"/>
  <c r="J1257" i="18"/>
  <c r="J1256" i="18"/>
  <c r="J1255" i="18"/>
  <c r="J1254" i="18"/>
  <c r="J1253" i="18"/>
  <c r="J1252" i="18"/>
  <c r="J1251" i="18"/>
  <c r="J1250" i="18"/>
  <c r="J1249" i="18"/>
  <c r="J1248" i="18"/>
  <c r="J1247" i="18"/>
  <c r="J1246" i="18"/>
  <c r="J1245" i="18"/>
  <c r="J1244" i="18"/>
  <c r="J1243" i="18"/>
  <c r="J1242" i="18"/>
  <c r="J1241" i="18"/>
  <c r="J1240" i="18"/>
  <c r="J1239" i="18"/>
  <c r="J1238" i="18"/>
  <c r="J1237" i="18"/>
  <c r="J1236" i="18"/>
  <c r="J1235" i="18"/>
  <c r="J1234" i="18"/>
  <c r="J1233" i="18"/>
  <c r="J1232" i="18"/>
  <c r="J1231" i="18"/>
  <c r="J1230" i="18"/>
  <c r="J1229" i="18"/>
  <c r="J1228" i="18"/>
  <c r="J1227" i="18"/>
  <c r="J1226" i="18"/>
  <c r="J1225" i="18"/>
  <c r="J1224" i="18"/>
  <c r="J1223" i="18"/>
  <c r="J1222" i="18"/>
  <c r="J1221" i="18"/>
  <c r="J1220" i="18"/>
  <c r="J1219" i="18"/>
  <c r="J1218" i="18"/>
  <c r="J1217" i="18"/>
  <c r="J1216" i="18"/>
  <c r="J1215" i="18"/>
  <c r="J1214" i="18"/>
  <c r="J1213" i="18"/>
  <c r="J1212" i="18"/>
  <c r="J1211" i="18"/>
  <c r="J1210" i="18"/>
  <c r="J1209" i="18"/>
  <c r="J1208" i="18"/>
  <c r="J1207" i="18"/>
  <c r="J1206" i="18"/>
  <c r="J1205" i="18"/>
  <c r="J1204" i="18"/>
  <c r="J1203" i="18"/>
  <c r="J1202" i="18"/>
  <c r="J1201" i="18"/>
  <c r="J1200" i="18"/>
  <c r="J1199" i="18"/>
  <c r="J1198" i="18"/>
  <c r="J1197" i="18"/>
  <c r="J1196" i="18"/>
  <c r="J1195" i="18"/>
  <c r="J1194" i="18"/>
  <c r="J1193" i="18"/>
  <c r="J1192" i="18"/>
  <c r="J1191" i="18"/>
  <c r="J1190" i="18"/>
  <c r="J1189" i="18"/>
  <c r="J1188" i="18"/>
  <c r="J1187" i="18"/>
  <c r="J1186" i="18"/>
  <c r="J1185" i="18"/>
  <c r="J1184" i="18"/>
  <c r="J1183" i="18"/>
  <c r="J1182" i="18"/>
  <c r="J1181" i="18"/>
  <c r="J1180" i="18"/>
  <c r="J1179" i="18"/>
  <c r="J1178" i="18"/>
  <c r="J1177" i="18"/>
  <c r="J1176" i="18"/>
  <c r="J1175" i="18"/>
  <c r="J1174" i="18"/>
  <c r="J1173" i="18"/>
  <c r="J1172" i="18"/>
  <c r="J1171" i="18"/>
  <c r="J1170" i="18"/>
  <c r="J1169" i="18"/>
  <c r="J1168" i="18"/>
  <c r="J1167" i="18"/>
  <c r="J1166" i="18"/>
  <c r="J1165" i="18"/>
  <c r="J1164" i="18"/>
  <c r="J1163" i="18"/>
  <c r="J1162" i="18"/>
  <c r="J1161" i="18"/>
  <c r="J1160" i="18"/>
  <c r="J1159" i="18"/>
  <c r="J1158" i="18"/>
  <c r="J1157" i="18"/>
  <c r="J1156" i="18"/>
  <c r="J1155" i="18"/>
  <c r="J1154" i="18"/>
  <c r="J1153" i="18"/>
  <c r="J1152" i="18"/>
  <c r="J1151" i="18"/>
  <c r="J1150" i="18"/>
  <c r="J1149" i="18"/>
  <c r="J1148" i="18"/>
  <c r="J1147" i="18"/>
  <c r="J1146" i="18"/>
  <c r="J1145" i="18"/>
  <c r="J1144" i="18"/>
  <c r="J1143" i="18"/>
  <c r="J1142" i="18"/>
  <c r="J1141" i="18"/>
  <c r="J1140" i="18"/>
  <c r="J1139" i="18"/>
  <c r="J1138" i="18"/>
  <c r="J1137" i="18"/>
  <c r="J1136" i="18"/>
  <c r="J1135" i="18"/>
  <c r="J1134" i="18"/>
  <c r="J1133" i="18"/>
  <c r="J1132" i="18"/>
  <c r="J1131" i="18"/>
  <c r="J1130" i="18"/>
  <c r="J1129" i="18"/>
  <c r="J1128" i="18"/>
  <c r="J1127" i="18"/>
  <c r="J1126" i="18"/>
  <c r="J1125" i="18"/>
  <c r="J1124" i="18"/>
  <c r="J1123" i="18"/>
  <c r="J1122" i="18"/>
  <c r="J1121" i="18"/>
  <c r="J1120" i="18"/>
  <c r="J1119" i="18"/>
  <c r="J1118" i="18"/>
  <c r="J1117" i="18"/>
  <c r="J1116" i="18"/>
  <c r="J1115" i="18"/>
  <c r="J1114" i="18"/>
  <c r="J1113" i="18"/>
  <c r="J1112" i="18"/>
  <c r="J1111" i="18"/>
  <c r="J1110" i="18"/>
  <c r="J1109" i="18"/>
  <c r="J1108" i="18"/>
  <c r="J1107" i="18"/>
  <c r="J1106" i="18"/>
  <c r="J1105" i="18"/>
  <c r="J1104" i="18"/>
  <c r="J1103" i="18"/>
  <c r="J1102" i="18"/>
  <c r="J1101" i="18"/>
  <c r="J1100" i="18"/>
  <c r="J1099" i="18"/>
  <c r="J1098" i="18"/>
  <c r="J1097" i="18"/>
  <c r="J1096" i="18"/>
  <c r="J1095" i="18"/>
  <c r="J1094" i="18"/>
  <c r="J1093" i="18"/>
  <c r="J1092" i="18"/>
  <c r="J1091" i="18"/>
  <c r="J1090" i="18"/>
  <c r="J1089" i="18"/>
  <c r="J1088" i="18"/>
  <c r="J1087" i="18"/>
  <c r="J1086" i="18"/>
  <c r="J1085" i="18"/>
  <c r="J1084" i="18"/>
  <c r="J1083" i="18"/>
  <c r="J1082" i="18"/>
  <c r="J1081" i="18"/>
  <c r="J1080" i="18"/>
  <c r="J1079" i="18"/>
  <c r="J1078" i="18"/>
  <c r="J1077" i="18"/>
  <c r="J1076" i="18"/>
  <c r="J1075" i="18"/>
  <c r="J1074" i="18"/>
  <c r="J1073" i="18"/>
  <c r="J1072" i="18"/>
  <c r="J1071" i="18"/>
  <c r="J1070" i="18"/>
  <c r="J1069" i="18"/>
  <c r="J1068" i="18"/>
  <c r="J1067" i="18"/>
  <c r="J1066" i="18"/>
  <c r="J1065" i="18"/>
  <c r="J1064" i="18"/>
  <c r="J1063" i="18"/>
  <c r="J1062" i="18"/>
  <c r="J1061" i="18"/>
  <c r="J1060" i="18"/>
  <c r="J1059" i="18"/>
  <c r="J1058" i="18"/>
  <c r="J1057" i="18"/>
  <c r="J1056" i="18"/>
  <c r="J1055" i="18"/>
  <c r="J1054" i="18"/>
  <c r="J1053" i="18"/>
  <c r="J1052" i="18"/>
  <c r="J1051" i="18"/>
  <c r="J1050" i="18"/>
  <c r="J1049" i="18"/>
  <c r="J1048" i="18"/>
  <c r="J1047" i="18"/>
  <c r="J1046" i="18"/>
  <c r="J1045" i="18"/>
  <c r="J1044" i="18"/>
  <c r="J1043" i="18"/>
  <c r="J1042" i="18"/>
  <c r="J1041" i="18"/>
  <c r="J1040" i="18"/>
  <c r="J1039" i="18"/>
  <c r="J1038" i="18"/>
  <c r="J1037" i="18"/>
  <c r="J1036" i="18"/>
  <c r="J1035" i="18"/>
  <c r="J1034" i="18"/>
  <c r="J1033" i="18"/>
  <c r="J1032" i="18"/>
  <c r="J1031" i="18"/>
  <c r="J1030" i="18"/>
  <c r="J1029" i="18"/>
  <c r="J1028" i="18"/>
  <c r="J1027" i="18"/>
  <c r="J1026" i="18"/>
  <c r="J1025" i="18"/>
  <c r="J1024" i="18"/>
  <c r="J1023" i="18"/>
  <c r="J1022" i="18"/>
  <c r="J1021" i="18"/>
  <c r="J1020" i="18"/>
  <c r="J1019" i="18"/>
  <c r="J1018" i="18"/>
  <c r="J1017" i="18"/>
  <c r="J1016" i="18"/>
  <c r="J1015" i="18"/>
  <c r="J1014" i="18"/>
  <c r="J1013" i="18"/>
  <c r="J1012" i="18"/>
  <c r="J1011" i="18"/>
  <c r="J1010" i="18"/>
  <c r="J1009" i="18"/>
  <c r="J1008" i="18"/>
  <c r="J1007" i="18"/>
  <c r="J1006" i="18"/>
  <c r="J1005" i="18"/>
  <c r="J1004" i="18"/>
  <c r="J1003" i="18"/>
  <c r="J1002" i="18"/>
  <c r="J1001" i="18"/>
  <c r="J1000" i="18"/>
  <c r="J999" i="18"/>
  <c r="J998" i="18"/>
  <c r="J997" i="18"/>
  <c r="J996" i="18"/>
  <c r="J995" i="18"/>
  <c r="J994" i="18"/>
  <c r="J993" i="18"/>
  <c r="J992" i="18"/>
  <c r="J991" i="18"/>
  <c r="J990" i="18"/>
  <c r="J989" i="18"/>
  <c r="J988" i="18"/>
  <c r="J987" i="18"/>
  <c r="J986" i="18"/>
  <c r="J985" i="18"/>
  <c r="J984" i="18"/>
  <c r="J983" i="18"/>
  <c r="J982" i="18"/>
  <c r="J981" i="18"/>
  <c r="J980" i="18"/>
  <c r="J979" i="18"/>
  <c r="J978" i="18"/>
  <c r="J977" i="18"/>
  <c r="J976" i="18"/>
  <c r="J975" i="18"/>
  <c r="J974" i="18"/>
  <c r="J973" i="18"/>
  <c r="J972" i="18"/>
  <c r="J971" i="18"/>
  <c r="J970" i="18"/>
  <c r="J969" i="18"/>
  <c r="J968" i="18"/>
  <c r="J967" i="18"/>
  <c r="J966" i="18"/>
  <c r="J965" i="18"/>
  <c r="J964" i="18"/>
  <c r="J963" i="18"/>
  <c r="J962" i="18"/>
  <c r="J961" i="18"/>
  <c r="J960" i="18"/>
  <c r="J959" i="18"/>
  <c r="J958" i="18"/>
  <c r="J957" i="18"/>
  <c r="J956" i="18"/>
  <c r="J955" i="18"/>
  <c r="J954" i="18"/>
  <c r="J953" i="18"/>
  <c r="J952" i="18"/>
  <c r="J951" i="18"/>
  <c r="J950" i="18"/>
  <c r="J949" i="18"/>
  <c r="J948" i="18"/>
  <c r="J947" i="18"/>
  <c r="J946" i="18"/>
  <c r="J945" i="18"/>
  <c r="J944" i="18"/>
  <c r="J943" i="18"/>
  <c r="J942" i="18"/>
  <c r="J941" i="18"/>
  <c r="J940" i="18"/>
  <c r="J939" i="18"/>
  <c r="J938" i="18"/>
  <c r="J937" i="18"/>
  <c r="J936" i="18"/>
  <c r="J935" i="18"/>
  <c r="J934" i="18"/>
  <c r="J933" i="18"/>
  <c r="J932" i="18"/>
  <c r="J931" i="18"/>
  <c r="J930" i="18"/>
  <c r="J929" i="18"/>
  <c r="J928" i="18"/>
  <c r="J927" i="18"/>
  <c r="J926" i="18"/>
  <c r="J925" i="18"/>
  <c r="J924" i="18"/>
  <c r="J923" i="18"/>
  <c r="J922" i="18"/>
  <c r="J921" i="18"/>
  <c r="J920" i="18"/>
  <c r="J919" i="18"/>
  <c r="J918" i="18"/>
  <c r="J917" i="18"/>
  <c r="J916" i="18"/>
  <c r="J915" i="18"/>
  <c r="J914" i="18"/>
  <c r="J913" i="18"/>
  <c r="J912" i="18"/>
  <c r="J911" i="18"/>
  <c r="J910" i="18"/>
  <c r="J909" i="18"/>
  <c r="J908" i="18"/>
  <c r="J907" i="18"/>
  <c r="J906" i="18"/>
  <c r="J905" i="18"/>
  <c r="J904" i="18"/>
  <c r="J903" i="18"/>
  <c r="J902" i="18"/>
  <c r="J901" i="18"/>
  <c r="J900" i="18"/>
  <c r="J899" i="18"/>
  <c r="J898" i="18"/>
  <c r="J897" i="18"/>
  <c r="J896" i="18"/>
  <c r="J895" i="18"/>
  <c r="J894" i="18"/>
  <c r="J893" i="18"/>
  <c r="J892" i="18"/>
  <c r="J891" i="18"/>
  <c r="J890" i="18"/>
  <c r="J889" i="18"/>
  <c r="J888" i="18"/>
  <c r="J887" i="18"/>
  <c r="J886" i="18"/>
  <c r="J885" i="18"/>
  <c r="J884" i="18"/>
  <c r="J883" i="18"/>
  <c r="J882" i="18"/>
  <c r="J881" i="18"/>
  <c r="J880" i="18"/>
  <c r="J879" i="18"/>
  <c r="J878" i="18"/>
  <c r="J877" i="18"/>
  <c r="J876" i="18"/>
  <c r="J875" i="18"/>
  <c r="J874" i="18"/>
  <c r="J873" i="18"/>
  <c r="J872" i="18"/>
  <c r="J871" i="18"/>
  <c r="J870" i="18"/>
  <c r="J869" i="18"/>
  <c r="J868" i="18"/>
  <c r="J867" i="18"/>
  <c r="J866" i="18"/>
  <c r="J865" i="18"/>
  <c r="J864" i="18"/>
  <c r="J863" i="18"/>
  <c r="J862" i="18"/>
  <c r="J861" i="18"/>
  <c r="J860" i="18"/>
  <c r="J859" i="18"/>
  <c r="J858" i="18"/>
  <c r="J857" i="18"/>
  <c r="J856" i="18"/>
  <c r="J855" i="18"/>
  <c r="J854" i="18"/>
  <c r="J853" i="18"/>
  <c r="J852" i="18"/>
  <c r="J851" i="18"/>
  <c r="J850" i="18"/>
  <c r="J849" i="18"/>
  <c r="J848" i="18"/>
  <c r="J847" i="18"/>
  <c r="J846" i="18"/>
  <c r="J845" i="18"/>
  <c r="J844" i="18"/>
  <c r="J843" i="18"/>
  <c r="J842" i="18"/>
  <c r="J841" i="18"/>
  <c r="J840" i="18"/>
  <c r="J839" i="18"/>
  <c r="J838" i="18"/>
  <c r="J837" i="18"/>
  <c r="J836" i="18"/>
  <c r="J835" i="18"/>
  <c r="J834" i="18"/>
  <c r="J833" i="18"/>
  <c r="J832" i="18"/>
  <c r="J831" i="18"/>
  <c r="J830" i="18"/>
  <c r="J829" i="18"/>
  <c r="J828" i="18"/>
  <c r="J827" i="18"/>
  <c r="J826" i="18"/>
  <c r="J825" i="18"/>
  <c r="J824" i="18"/>
  <c r="J823" i="18"/>
  <c r="J822" i="18"/>
  <c r="J821" i="18"/>
  <c r="J820" i="18"/>
  <c r="J819" i="18"/>
  <c r="J818" i="18"/>
  <c r="J817" i="18"/>
  <c r="J816" i="18"/>
  <c r="J815" i="18"/>
  <c r="J814" i="18"/>
  <c r="J813" i="18"/>
  <c r="J812" i="18"/>
  <c r="J811" i="18"/>
  <c r="J810" i="18"/>
  <c r="J809" i="18"/>
  <c r="J808" i="18"/>
  <c r="J807" i="18"/>
  <c r="J806" i="18"/>
  <c r="J805" i="18"/>
  <c r="J804" i="18"/>
  <c r="J803" i="18"/>
  <c r="J802" i="18"/>
  <c r="J801" i="18"/>
  <c r="J800" i="18"/>
  <c r="J799" i="18"/>
  <c r="J798" i="18"/>
  <c r="J797" i="18"/>
  <c r="J796" i="18"/>
  <c r="J795" i="18"/>
  <c r="J794" i="18"/>
  <c r="J793" i="18"/>
  <c r="J792" i="18"/>
  <c r="J791" i="18"/>
  <c r="J790" i="18"/>
  <c r="J789" i="18"/>
  <c r="P1302" i="18"/>
  <c r="S1302" i="18" s="1"/>
  <c r="P1301" i="18"/>
  <c r="S1301" i="18" s="1"/>
  <c r="P1300" i="18"/>
  <c r="S1300" i="18" s="1"/>
  <c r="P1299" i="18"/>
  <c r="S1299" i="18" s="1"/>
  <c r="P1298" i="18"/>
  <c r="S1298" i="18" s="1"/>
  <c r="P1297" i="18"/>
  <c r="S1297" i="18" s="1"/>
  <c r="P1296" i="18"/>
  <c r="S1296" i="18" s="1"/>
  <c r="P1295" i="18"/>
  <c r="S1295" i="18" s="1"/>
  <c r="P1294" i="18"/>
  <c r="S1294" i="18" s="1"/>
  <c r="P1293" i="18"/>
  <c r="S1293" i="18" s="1"/>
  <c r="P1292" i="18"/>
  <c r="S1292" i="18" s="1"/>
  <c r="P1291" i="18"/>
  <c r="S1291" i="18" s="1"/>
  <c r="P1290" i="18"/>
  <c r="S1290" i="18" s="1"/>
  <c r="P1289" i="18"/>
  <c r="S1289" i="18" s="1"/>
  <c r="P1288" i="18"/>
  <c r="S1288" i="18" s="1"/>
  <c r="P1287" i="18"/>
  <c r="S1287" i="18" s="1"/>
  <c r="P1286" i="18"/>
  <c r="S1286" i="18" s="1"/>
  <c r="P1285" i="18"/>
  <c r="S1285" i="18" s="1"/>
  <c r="P1284" i="18"/>
  <c r="S1284" i="18" s="1"/>
  <c r="P1283" i="18"/>
  <c r="S1283" i="18" s="1"/>
  <c r="P1282" i="18"/>
  <c r="S1282" i="18" s="1"/>
  <c r="P1281" i="18"/>
  <c r="S1281" i="18" s="1"/>
  <c r="P1280" i="18"/>
  <c r="S1280" i="18" s="1"/>
  <c r="P1279" i="18"/>
  <c r="S1279" i="18" s="1"/>
  <c r="P1278" i="18"/>
  <c r="S1278" i="18" s="1"/>
  <c r="P1277" i="18"/>
  <c r="S1277" i="18" s="1"/>
  <c r="P1276" i="18"/>
  <c r="S1276" i="18" s="1"/>
  <c r="P1275" i="18"/>
  <c r="S1275" i="18" s="1"/>
  <c r="P1274" i="18"/>
  <c r="S1274" i="18" s="1"/>
  <c r="P1273" i="18"/>
  <c r="S1273" i="18" s="1"/>
  <c r="P1272" i="18"/>
  <c r="S1272" i="18" s="1"/>
  <c r="P1271" i="18"/>
  <c r="S1271" i="18" s="1"/>
  <c r="P1270" i="18"/>
  <c r="S1270" i="18" s="1"/>
  <c r="P1269" i="18"/>
  <c r="S1269" i="18" s="1"/>
  <c r="P1268" i="18"/>
  <c r="S1268" i="18" s="1"/>
  <c r="P1267" i="18"/>
  <c r="S1267" i="18" s="1"/>
  <c r="P1266" i="18"/>
  <c r="S1266" i="18" s="1"/>
  <c r="P1265" i="18"/>
  <c r="S1265" i="18" s="1"/>
  <c r="P1264" i="18"/>
  <c r="S1264" i="18" s="1"/>
  <c r="P1263" i="18"/>
  <c r="S1263" i="18" s="1"/>
  <c r="P1262" i="18"/>
  <c r="S1262" i="18" s="1"/>
  <c r="P1261" i="18"/>
  <c r="S1261" i="18" s="1"/>
  <c r="P1260" i="18"/>
  <c r="S1260" i="18" s="1"/>
  <c r="P1259" i="18"/>
  <c r="S1259" i="18" s="1"/>
  <c r="P1258" i="18"/>
  <c r="S1258" i="18" s="1"/>
  <c r="P1257" i="18"/>
  <c r="S1257" i="18" s="1"/>
  <c r="P1256" i="18"/>
  <c r="S1256" i="18" s="1"/>
  <c r="P1255" i="18"/>
  <c r="S1255" i="18" s="1"/>
  <c r="P1254" i="18"/>
  <c r="S1254" i="18" s="1"/>
  <c r="P1253" i="18"/>
  <c r="S1253" i="18" s="1"/>
  <c r="P1252" i="18"/>
  <c r="S1252" i="18" s="1"/>
  <c r="P1251" i="18"/>
  <c r="S1251" i="18" s="1"/>
  <c r="P1250" i="18"/>
  <c r="S1250" i="18" s="1"/>
  <c r="P1249" i="18"/>
  <c r="S1249" i="18" s="1"/>
  <c r="P1248" i="18"/>
  <c r="S1248" i="18" s="1"/>
  <c r="P1247" i="18"/>
  <c r="S1247" i="18" s="1"/>
  <c r="P1246" i="18"/>
  <c r="S1246" i="18" s="1"/>
  <c r="P1245" i="18"/>
  <c r="S1245" i="18" s="1"/>
  <c r="P1244" i="18"/>
  <c r="S1244" i="18" s="1"/>
  <c r="P1243" i="18"/>
  <c r="S1243" i="18" s="1"/>
  <c r="P1242" i="18"/>
  <c r="S1242" i="18" s="1"/>
  <c r="P1241" i="18"/>
  <c r="S1241" i="18" s="1"/>
  <c r="P1240" i="18"/>
  <c r="S1240" i="18" s="1"/>
  <c r="P1239" i="18"/>
  <c r="S1239" i="18" s="1"/>
  <c r="P1238" i="18"/>
  <c r="S1238" i="18" s="1"/>
  <c r="P1237" i="18"/>
  <c r="S1237" i="18" s="1"/>
  <c r="P1236" i="18"/>
  <c r="S1236" i="18" s="1"/>
  <c r="P1235" i="18"/>
  <c r="S1235" i="18" s="1"/>
  <c r="P1234" i="18"/>
  <c r="S1234" i="18" s="1"/>
  <c r="P1233" i="18"/>
  <c r="S1233" i="18" s="1"/>
  <c r="P1232" i="18"/>
  <c r="S1232" i="18" s="1"/>
  <c r="P1231" i="18"/>
  <c r="S1231" i="18" s="1"/>
  <c r="P1230" i="18"/>
  <c r="S1230" i="18" s="1"/>
  <c r="P1229" i="18"/>
  <c r="S1229" i="18" s="1"/>
  <c r="P1228" i="18"/>
  <c r="S1228" i="18" s="1"/>
  <c r="P1227" i="18"/>
  <c r="S1227" i="18" s="1"/>
  <c r="P1226" i="18"/>
  <c r="S1226" i="18" s="1"/>
  <c r="P1225" i="18"/>
  <c r="S1225" i="18" s="1"/>
  <c r="P1224" i="18"/>
  <c r="S1224" i="18" s="1"/>
  <c r="P1223" i="18"/>
  <c r="S1223" i="18" s="1"/>
  <c r="P1222" i="18"/>
  <c r="S1222" i="18" s="1"/>
  <c r="P1221" i="18"/>
  <c r="S1221" i="18" s="1"/>
  <c r="P1220" i="18"/>
  <c r="S1220" i="18" s="1"/>
  <c r="P1219" i="18"/>
  <c r="S1219" i="18" s="1"/>
  <c r="P1218" i="18"/>
  <c r="S1218" i="18" s="1"/>
  <c r="P1217" i="18"/>
  <c r="S1217" i="18" s="1"/>
  <c r="P1216" i="18"/>
  <c r="S1216" i="18" s="1"/>
  <c r="P1215" i="18"/>
  <c r="S1215" i="18" s="1"/>
  <c r="P1214" i="18"/>
  <c r="S1214" i="18" s="1"/>
  <c r="P1213" i="18"/>
  <c r="S1213" i="18" s="1"/>
  <c r="P1212" i="18"/>
  <c r="S1212" i="18" s="1"/>
  <c r="P1211" i="18"/>
  <c r="S1211" i="18" s="1"/>
  <c r="P1210" i="18"/>
  <c r="S1210" i="18" s="1"/>
  <c r="P1209" i="18"/>
  <c r="S1209" i="18" s="1"/>
  <c r="P1208" i="18"/>
  <c r="S1208" i="18" s="1"/>
  <c r="P1207" i="18"/>
  <c r="S1207" i="18" s="1"/>
  <c r="P1206" i="18"/>
  <c r="S1206" i="18" s="1"/>
  <c r="P1205" i="18"/>
  <c r="S1205" i="18" s="1"/>
  <c r="P1204" i="18"/>
  <c r="S1204" i="18" s="1"/>
  <c r="P1203" i="18"/>
  <c r="S1203" i="18" s="1"/>
  <c r="P1202" i="18"/>
  <c r="S1202" i="18" s="1"/>
  <c r="P1201" i="18"/>
  <c r="S1201" i="18" s="1"/>
  <c r="P1200" i="18"/>
  <c r="S1200" i="18" s="1"/>
  <c r="P1199" i="18"/>
  <c r="S1199" i="18" s="1"/>
  <c r="P1198" i="18"/>
  <c r="S1198" i="18" s="1"/>
  <c r="P1197" i="18"/>
  <c r="S1197" i="18" s="1"/>
  <c r="P1196" i="18"/>
  <c r="S1196" i="18" s="1"/>
  <c r="P1195" i="18"/>
  <c r="S1195" i="18" s="1"/>
  <c r="P1194" i="18"/>
  <c r="S1194" i="18" s="1"/>
  <c r="P1193" i="18"/>
  <c r="S1193" i="18" s="1"/>
  <c r="P1192" i="18"/>
  <c r="S1192" i="18" s="1"/>
  <c r="P1191" i="18"/>
  <c r="S1191" i="18" s="1"/>
  <c r="P1190" i="18"/>
  <c r="S1190" i="18" s="1"/>
  <c r="P1189" i="18"/>
  <c r="S1189" i="18" s="1"/>
  <c r="P1188" i="18"/>
  <c r="S1188" i="18" s="1"/>
  <c r="P1187" i="18"/>
  <c r="S1187" i="18" s="1"/>
  <c r="P1186" i="18"/>
  <c r="S1186" i="18" s="1"/>
  <c r="P1185" i="18"/>
  <c r="S1185" i="18" s="1"/>
  <c r="P1184" i="18"/>
  <c r="S1184" i="18" s="1"/>
  <c r="P1183" i="18"/>
  <c r="S1183" i="18" s="1"/>
  <c r="P1182" i="18"/>
  <c r="S1182" i="18" s="1"/>
  <c r="P1181" i="18"/>
  <c r="S1181" i="18" s="1"/>
  <c r="P1180" i="18"/>
  <c r="S1180" i="18" s="1"/>
  <c r="P1179" i="18"/>
  <c r="S1179" i="18" s="1"/>
  <c r="P1178" i="18"/>
  <c r="S1178" i="18" s="1"/>
  <c r="P1177" i="18"/>
  <c r="S1177" i="18" s="1"/>
  <c r="P1176" i="18"/>
  <c r="S1176" i="18" s="1"/>
  <c r="P1175" i="18"/>
  <c r="S1175" i="18" s="1"/>
  <c r="P1174" i="18"/>
  <c r="S1174" i="18" s="1"/>
  <c r="P1173" i="18"/>
  <c r="S1173" i="18" s="1"/>
  <c r="P1172" i="18"/>
  <c r="S1172" i="18" s="1"/>
  <c r="P1171" i="18"/>
  <c r="S1171" i="18" s="1"/>
  <c r="P1170" i="18"/>
  <c r="S1170" i="18" s="1"/>
  <c r="P1169" i="18"/>
  <c r="S1169" i="18" s="1"/>
  <c r="P1168" i="18"/>
  <c r="S1168" i="18" s="1"/>
  <c r="P1167" i="18"/>
  <c r="S1167" i="18" s="1"/>
  <c r="P1166" i="18"/>
  <c r="S1166" i="18" s="1"/>
  <c r="P1165" i="18"/>
  <c r="S1165" i="18" s="1"/>
  <c r="P1164" i="18"/>
  <c r="S1164" i="18" s="1"/>
  <c r="P1163" i="18"/>
  <c r="S1163" i="18" s="1"/>
  <c r="P1162" i="18"/>
  <c r="S1162" i="18" s="1"/>
  <c r="P1161" i="18"/>
  <c r="S1161" i="18" s="1"/>
  <c r="P1160" i="18"/>
  <c r="S1160" i="18" s="1"/>
  <c r="P1159" i="18"/>
  <c r="S1159" i="18" s="1"/>
  <c r="P1158" i="18"/>
  <c r="S1158" i="18" s="1"/>
  <c r="P1157" i="18"/>
  <c r="S1157" i="18" s="1"/>
  <c r="P1156" i="18"/>
  <c r="S1156" i="18" s="1"/>
  <c r="P1155" i="18"/>
  <c r="S1155" i="18" s="1"/>
  <c r="P1154" i="18"/>
  <c r="S1154" i="18" s="1"/>
  <c r="P1153" i="18"/>
  <c r="S1153" i="18" s="1"/>
  <c r="P1152" i="18"/>
  <c r="S1152" i="18" s="1"/>
  <c r="P1151" i="18"/>
  <c r="S1151" i="18" s="1"/>
  <c r="P1150" i="18"/>
  <c r="S1150" i="18" s="1"/>
  <c r="P1149" i="18"/>
  <c r="S1149" i="18" s="1"/>
  <c r="P1148" i="18"/>
  <c r="S1148" i="18" s="1"/>
  <c r="P1147" i="18"/>
  <c r="S1147" i="18" s="1"/>
  <c r="P1146" i="18"/>
  <c r="S1146" i="18" s="1"/>
  <c r="P1145" i="18"/>
  <c r="S1145" i="18" s="1"/>
  <c r="P1144" i="18"/>
  <c r="S1144" i="18" s="1"/>
  <c r="P1143" i="18"/>
  <c r="S1143" i="18" s="1"/>
  <c r="P1142" i="18"/>
  <c r="S1142" i="18" s="1"/>
  <c r="P1141" i="18"/>
  <c r="S1141" i="18" s="1"/>
  <c r="P1140" i="18"/>
  <c r="S1140" i="18" s="1"/>
  <c r="P1139" i="18"/>
  <c r="S1139" i="18" s="1"/>
  <c r="P1138" i="18"/>
  <c r="S1138" i="18" s="1"/>
  <c r="P1137" i="18"/>
  <c r="S1137" i="18" s="1"/>
  <c r="P1136" i="18"/>
  <c r="S1136" i="18" s="1"/>
  <c r="P1135" i="18"/>
  <c r="S1135" i="18" s="1"/>
  <c r="P1134" i="18"/>
  <c r="S1134" i="18" s="1"/>
  <c r="P1133" i="18"/>
  <c r="S1133" i="18" s="1"/>
  <c r="P1132" i="18"/>
  <c r="S1132" i="18" s="1"/>
  <c r="P1131" i="18"/>
  <c r="S1131" i="18" s="1"/>
  <c r="P1130" i="18"/>
  <c r="S1130" i="18" s="1"/>
  <c r="P1129" i="18"/>
  <c r="S1129" i="18" s="1"/>
  <c r="P1128" i="18"/>
  <c r="S1128" i="18" s="1"/>
  <c r="P1127" i="18"/>
  <c r="S1127" i="18" s="1"/>
  <c r="P1126" i="18"/>
  <c r="S1126" i="18" s="1"/>
  <c r="P1125" i="18"/>
  <c r="S1125" i="18" s="1"/>
  <c r="P1124" i="18"/>
  <c r="S1124" i="18" s="1"/>
  <c r="P1123" i="18"/>
  <c r="S1123" i="18" s="1"/>
  <c r="P1122" i="18"/>
  <c r="S1122" i="18" s="1"/>
  <c r="P1121" i="18"/>
  <c r="S1121" i="18" s="1"/>
  <c r="P1120" i="18"/>
  <c r="S1120" i="18" s="1"/>
  <c r="P1119" i="18"/>
  <c r="S1119" i="18" s="1"/>
  <c r="P1118" i="18"/>
  <c r="S1118" i="18" s="1"/>
  <c r="P1117" i="18"/>
  <c r="S1117" i="18" s="1"/>
  <c r="P1116" i="18"/>
  <c r="S1116" i="18" s="1"/>
  <c r="P1115" i="18"/>
  <c r="S1115" i="18" s="1"/>
  <c r="P1114" i="18"/>
  <c r="S1114" i="18" s="1"/>
  <c r="P1113" i="18"/>
  <c r="S1113" i="18" s="1"/>
  <c r="P1112" i="18"/>
  <c r="S1112" i="18" s="1"/>
  <c r="P1111" i="18"/>
  <c r="S1111" i="18" s="1"/>
  <c r="P1110" i="18"/>
  <c r="S1110" i="18" s="1"/>
  <c r="P1109" i="18"/>
  <c r="S1109" i="18" s="1"/>
  <c r="P1108" i="18"/>
  <c r="S1108" i="18" s="1"/>
  <c r="P1107" i="18"/>
  <c r="S1107" i="18" s="1"/>
  <c r="P1106" i="18"/>
  <c r="S1106" i="18" s="1"/>
  <c r="P1105" i="18"/>
  <c r="S1105" i="18" s="1"/>
  <c r="P1104" i="18"/>
  <c r="S1104" i="18" s="1"/>
  <c r="P1103" i="18"/>
  <c r="S1103" i="18" s="1"/>
  <c r="P1102" i="18"/>
  <c r="S1102" i="18" s="1"/>
  <c r="P1101" i="18"/>
  <c r="S1101" i="18" s="1"/>
  <c r="P1100" i="18"/>
  <c r="S1100" i="18" s="1"/>
  <c r="P1099" i="18"/>
  <c r="S1099" i="18" s="1"/>
  <c r="P1098" i="18"/>
  <c r="S1098" i="18" s="1"/>
  <c r="P1097" i="18"/>
  <c r="S1097" i="18" s="1"/>
  <c r="P1096" i="18"/>
  <c r="S1096" i="18" s="1"/>
  <c r="P1095" i="18"/>
  <c r="S1095" i="18" s="1"/>
  <c r="P1094" i="18"/>
  <c r="S1094" i="18" s="1"/>
  <c r="P1093" i="18"/>
  <c r="S1093" i="18" s="1"/>
  <c r="P1092" i="18"/>
  <c r="S1092" i="18" s="1"/>
  <c r="P1091" i="18"/>
  <c r="S1091" i="18" s="1"/>
  <c r="P1090" i="18"/>
  <c r="S1090" i="18" s="1"/>
  <c r="P1089" i="18"/>
  <c r="S1089" i="18" s="1"/>
  <c r="P1088" i="18"/>
  <c r="S1088" i="18" s="1"/>
  <c r="P1087" i="18"/>
  <c r="S1087" i="18" s="1"/>
  <c r="P1086" i="18"/>
  <c r="S1086" i="18" s="1"/>
  <c r="P1085" i="18"/>
  <c r="S1085" i="18" s="1"/>
  <c r="P1084" i="18"/>
  <c r="S1084" i="18" s="1"/>
  <c r="P1083" i="18"/>
  <c r="S1083" i="18" s="1"/>
  <c r="P1082" i="18"/>
  <c r="S1082" i="18" s="1"/>
  <c r="P1081" i="18"/>
  <c r="S1081" i="18" s="1"/>
  <c r="P1080" i="18"/>
  <c r="S1080" i="18" s="1"/>
  <c r="P1079" i="18"/>
  <c r="S1079" i="18" s="1"/>
  <c r="P1078" i="18"/>
  <c r="S1078" i="18" s="1"/>
  <c r="P1077" i="18"/>
  <c r="S1077" i="18" s="1"/>
  <c r="P1076" i="18"/>
  <c r="S1076" i="18" s="1"/>
  <c r="P1075" i="18"/>
  <c r="S1075" i="18" s="1"/>
  <c r="P1074" i="18"/>
  <c r="S1074" i="18" s="1"/>
  <c r="P1073" i="18"/>
  <c r="S1073" i="18" s="1"/>
  <c r="P1072" i="18"/>
  <c r="S1072" i="18" s="1"/>
  <c r="P1071" i="18"/>
  <c r="S1071" i="18" s="1"/>
  <c r="P1070" i="18"/>
  <c r="S1070" i="18" s="1"/>
  <c r="P1069" i="18"/>
  <c r="S1069" i="18" s="1"/>
  <c r="P1068" i="18"/>
  <c r="S1068" i="18" s="1"/>
  <c r="P1067" i="18"/>
  <c r="S1067" i="18" s="1"/>
  <c r="P1066" i="18"/>
  <c r="S1066" i="18" s="1"/>
  <c r="P1065" i="18"/>
  <c r="S1065" i="18" s="1"/>
  <c r="P1064" i="18"/>
  <c r="S1064" i="18" s="1"/>
  <c r="P1063" i="18"/>
  <c r="S1063" i="18" s="1"/>
  <c r="P1062" i="18"/>
  <c r="S1062" i="18" s="1"/>
  <c r="P1061" i="18"/>
  <c r="S1061" i="18" s="1"/>
  <c r="P1060" i="18"/>
  <c r="S1060" i="18" s="1"/>
  <c r="P1059" i="18"/>
  <c r="S1059" i="18" s="1"/>
  <c r="P1058" i="18"/>
  <c r="S1058" i="18" s="1"/>
  <c r="P1057" i="18"/>
  <c r="S1057" i="18" s="1"/>
  <c r="P1056" i="18"/>
  <c r="S1056" i="18" s="1"/>
  <c r="P1055" i="18"/>
  <c r="S1055" i="18" s="1"/>
  <c r="P1054" i="18"/>
  <c r="S1054" i="18" s="1"/>
  <c r="P1053" i="18"/>
  <c r="S1053" i="18" s="1"/>
  <c r="P1052" i="18"/>
  <c r="S1052" i="18" s="1"/>
  <c r="P1051" i="18"/>
  <c r="S1051" i="18" s="1"/>
  <c r="P1050" i="18"/>
  <c r="S1050" i="18" s="1"/>
  <c r="P1049" i="18"/>
  <c r="S1049" i="18" s="1"/>
  <c r="P1048" i="18"/>
  <c r="S1048" i="18" s="1"/>
  <c r="P1047" i="18"/>
  <c r="S1047" i="18" s="1"/>
  <c r="P1046" i="18"/>
  <c r="S1046" i="18" s="1"/>
  <c r="P1045" i="18"/>
  <c r="S1045" i="18" s="1"/>
  <c r="P1044" i="18"/>
  <c r="S1044" i="18" s="1"/>
  <c r="P1043" i="18"/>
  <c r="S1043" i="18" s="1"/>
  <c r="P1042" i="18"/>
  <c r="S1042" i="18" s="1"/>
  <c r="P1041" i="18"/>
  <c r="S1041" i="18" s="1"/>
  <c r="P1040" i="18"/>
  <c r="S1040" i="18" s="1"/>
  <c r="P1039" i="18"/>
  <c r="S1039" i="18" s="1"/>
  <c r="P1038" i="18"/>
  <c r="S1038" i="18" s="1"/>
  <c r="P1037" i="18"/>
  <c r="S1037" i="18" s="1"/>
  <c r="P1036" i="18"/>
  <c r="S1036" i="18" s="1"/>
  <c r="P1035" i="18"/>
  <c r="S1035" i="18" s="1"/>
  <c r="P1034" i="18"/>
  <c r="S1034" i="18" s="1"/>
  <c r="P1033" i="18"/>
  <c r="S1033" i="18" s="1"/>
  <c r="P1032" i="18"/>
  <c r="S1032" i="18" s="1"/>
  <c r="P1031" i="18"/>
  <c r="S1031" i="18" s="1"/>
  <c r="P1030" i="18"/>
  <c r="S1030" i="18" s="1"/>
  <c r="P1029" i="18"/>
  <c r="S1029" i="18" s="1"/>
  <c r="P1028" i="18"/>
  <c r="S1028" i="18" s="1"/>
  <c r="P1027" i="18"/>
  <c r="S1027" i="18" s="1"/>
  <c r="P1026" i="18"/>
  <c r="S1026" i="18" s="1"/>
  <c r="P1025" i="18"/>
  <c r="S1025" i="18" s="1"/>
  <c r="P1024" i="18"/>
  <c r="S1024" i="18" s="1"/>
  <c r="P1023" i="18"/>
  <c r="S1023" i="18" s="1"/>
  <c r="P1022" i="18"/>
  <c r="S1022" i="18" s="1"/>
  <c r="P1021" i="18"/>
  <c r="S1021" i="18" s="1"/>
  <c r="P1020" i="18"/>
  <c r="S1020" i="18" s="1"/>
  <c r="P1019" i="18"/>
  <c r="S1019" i="18" s="1"/>
  <c r="P1018" i="18"/>
  <c r="S1018" i="18" s="1"/>
  <c r="P1017" i="18"/>
  <c r="S1017" i="18" s="1"/>
  <c r="P1016" i="18"/>
  <c r="S1016" i="18" s="1"/>
  <c r="P1015" i="18"/>
  <c r="S1015" i="18" s="1"/>
  <c r="P1014" i="18"/>
  <c r="S1014" i="18" s="1"/>
  <c r="P1013" i="18"/>
  <c r="S1013" i="18" s="1"/>
  <c r="P1012" i="18"/>
  <c r="S1012" i="18" s="1"/>
  <c r="P1011" i="18"/>
  <c r="S1011" i="18" s="1"/>
  <c r="P1010" i="18"/>
  <c r="S1010" i="18" s="1"/>
  <c r="P1009" i="18"/>
  <c r="S1009" i="18" s="1"/>
  <c r="P1008" i="18"/>
  <c r="S1008" i="18" s="1"/>
  <c r="P1007" i="18"/>
  <c r="S1007" i="18" s="1"/>
  <c r="P1006" i="18"/>
  <c r="S1006" i="18" s="1"/>
  <c r="P1005" i="18"/>
  <c r="S1005" i="18" s="1"/>
  <c r="P1004" i="18"/>
  <c r="S1004" i="18" s="1"/>
  <c r="P1003" i="18"/>
  <c r="S1003" i="18" s="1"/>
  <c r="P1002" i="18"/>
  <c r="S1002" i="18" s="1"/>
  <c r="P1001" i="18"/>
  <c r="S1001" i="18" s="1"/>
  <c r="P1000" i="18"/>
  <c r="S1000" i="18" s="1"/>
  <c r="P999" i="18"/>
  <c r="S999" i="18" s="1"/>
  <c r="P998" i="18"/>
  <c r="S998" i="18" s="1"/>
  <c r="P997" i="18"/>
  <c r="S997" i="18" s="1"/>
  <c r="P996" i="18"/>
  <c r="S996" i="18" s="1"/>
  <c r="P995" i="18"/>
  <c r="S995" i="18" s="1"/>
  <c r="P994" i="18"/>
  <c r="S994" i="18" s="1"/>
  <c r="P993" i="18"/>
  <c r="S993" i="18" s="1"/>
  <c r="P992" i="18"/>
  <c r="S992" i="18" s="1"/>
  <c r="P991" i="18"/>
  <c r="S991" i="18" s="1"/>
  <c r="P990" i="18"/>
  <c r="S990" i="18" s="1"/>
  <c r="P989" i="18"/>
  <c r="S989" i="18" s="1"/>
  <c r="P988" i="18"/>
  <c r="S988" i="18" s="1"/>
  <c r="P987" i="18"/>
  <c r="S987" i="18" s="1"/>
  <c r="P986" i="18"/>
  <c r="S986" i="18" s="1"/>
  <c r="P985" i="18"/>
  <c r="S985" i="18" s="1"/>
  <c r="P984" i="18"/>
  <c r="S984" i="18" s="1"/>
  <c r="P983" i="18"/>
  <c r="S983" i="18" s="1"/>
  <c r="P982" i="18"/>
  <c r="S982" i="18" s="1"/>
  <c r="P981" i="18"/>
  <c r="S981" i="18" s="1"/>
  <c r="P980" i="18"/>
  <c r="S980" i="18" s="1"/>
  <c r="P979" i="18"/>
  <c r="S979" i="18" s="1"/>
  <c r="P978" i="18"/>
  <c r="S978" i="18" s="1"/>
  <c r="P977" i="18"/>
  <c r="S977" i="18" s="1"/>
  <c r="P976" i="18"/>
  <c r="S976" i="18" s="1"/>
  <c r="P975" i="18"/>
  <c r="S975" i="18" s="1"/>
  <c r="P974" i="18"/>
  <c r="S974" i="18" s="1"/>
  <c r="P973" i="18"/>
  <c r="S973" i="18" s="1"/>
  <c r="P972" i="18"/>
  <c r="S972" i="18" s="1"/>
  <c r="P971" i="18"/>
  <c r="S971" i="18" s="1"/>
  <c r="P970" i="18"/>
  <c r="S970" i="18" s="1"/>
  <c r="P969" i="18"/>
  <c r="S969" i="18" s="1"/>
  <c r="P968" i="18"/>
  <c r="S968" i="18" s="1"/>
  <c r="P967" i="18"/>
  <c r="S967" i="18" s="1"/>
  <c r="P966" i="18"/>
  <c r="S966" i="18" s="1"/>
  <c r="P1604" i="18"/>
  <c r="S1604" i="18" s="1"/>
  <c r="P1603" i="18"/>
  <c r="S1603" i="18" s="1"/>
  <c r="P1602" i="18"/>
  <c r="S1602" i="18" s="1"/>
  <c r="P1601" i="18"/>
  <c r="S1601" i="18" s="1"/>
  <c r="P1600" i="18"/>
  <c r="S1600" i="18" s="1"/>
  <c r="P1599" i="18"/>
  <c r="S1599" i="18" s="1"/>
  <c r="P1598" i="18"/>
  <c r="S1598" i="18" s="1"/>
  <c r="P1597" i="18"/>
  <c r="S1597" i="18" s="1"/>
  <c r="P1596" i="18"/>
  <c r="S1596" i="18" s="1"/>
  <c r="P1595" i="18"/>
  <c r="S1595" i="18" s="1"/>
  <c r="P1594" i="18"/>
  <c r="S1594" i="18" s="1"/>
  <c r="P1593" i="18"/>
  <c r="S1593" i="18" s="1"/>
  <c r="P1592" i="18"/>
  <c r="S1592" i="18" s="1"/>
  <c r="P1591" i="18"/>
  <c r="S1591" i="18" s="1"/>
  <c r="P1590" i="18"/>
  <c r="S1590" i="18" s="1"/>
  <c r="P1589" i="18"/>
  <c r="S1589" i="18" s="1"/>
  <c r="P1588" i="18"/>
  <c r="S1588" i="18" s="1"/>
  <c r="P1587" i="18"/>
  <c r="S1587" i="18" s="1"/>
  <c r="P1586" i="18"/>
  <c r="S1586" i="18" s="1"/>
  <c r="P1585" i="18"/>
  <c r="S1585" i="18" s="1"/>
  <c r="P1584" i="18"/>
  <c r="S1584" i="18" s="1"/>
  <c r="P1583" i="18"/>
  <c r="S1583" i="18" s="1"/>
  <c r="P1582" i="18"/>
  <c r="S1582" i="18" s="1"/>
  <c r="P1581" i="18"/>
  <c r="S1581" i="18" s="1"/>
  <c r="P1580" i="18"/>
  <c r="S1580" i="18" s="1"/>
  <c r="P1579" i="18"/>
  <c r="S1579" i="18" s="1"/>
  <c r="P1578" i="18"/>
  <c r="S1578" i="18" s="1"/>
  <c r="P1577" i="18"/>
  <c r="S1577" i="18" s="1"/>
  <c r="P1576" i="18"/>
  <c r="S1576" i="18" s="1"/>
  <c r="P1575" i="18"/>
  <c r="S1575" i="18" s="1"/>
  <c r="P1574" i="18"/>
  <c r="S1574" i="18" s="1"/>
  <c r="P1573" i="18"/>
  <c r="S1573" i="18" s="1"/>
  <c r="P1572" i="18"/>
  <c r="S1572" i="18" s="1"/>
  <c r="P1571" i="18"/>
  <c r="S1571" i="18" s="1"/>
  <c r="P1570" i="18"/>
  <c r="S1570" i="18" s="1"/>
  <c r="P1569" i="18"/>
  <c r="S1569" i="18" s="1"/>
  <c r="P1568" i="18"/>
  <c r="S1568" i="18" s="1"/>
  <c r="P1567" i="18"/>
  <c r="S1567" i="18" s="1"/>
  <c r="P1566" i="18"/>
  <c r="S1566" i="18" s="1"/>
  <c r="P1565" i="18"/>
  <c r="S1565" i="18" s="1"/>
  <c r="P1564" i="18"/>
  <c r="S1564" i="18" s="1"/>
  <c r="P1563" i="18"/>
  <c r="S1563" i="18" s="1"/>
  <c r="P1562" i="18"/>
  <c r="S1562" i="18" s="1"/>
  <c r="P1561" i="18"/>
  <c r="S1561" i="18" s="1"/>
  <c r="P1560" i="18"/>
  <c r="S1560" i="18" s="1"/>
  <c r="P1559" i="18"/>
  <c r="S1559" i="18" s="1"/>
  <c r="P1558" i="18"/>
  <c r="S1558" i="18" s="1"/>
  <c r="P1557" i="18"/>
  <c r="S1557" i="18" s="1"/>
  <c r="P1556" i="18"/>
  <c r="S1556" i="18" s="1"/>
  <c r="P1555" i="18"/>
  <c r="S1555" i="18" s="1"/>
  <c r="P1554" i="18"/>
  <c r="S1554" i="18" s="1"/>
  <c r="P1553" i="18"/>
  <c r="S1553" i="18" s="1"/>
  <c r="P1552" i="18"/>
  <c r="S1552" i="18" s="1"/>
  <c r="P1551" i="18"/>
  <c r="S1551" i="18" s="1"/>
  <c r="P1550" i="18"/>
  <c r="S1550" i="18" s="1"/>
  <c r="P1549" i="18"/>
  <c r="S1549" i="18" s="1"/>
  <c r="P1548" i="18"/>
  <c r="S1548" i="18" s="1"/>
  <c r="P1547" i="18"/>
  <c r="S1547" i="18" s="1"/>
  <c r="P1546" i="18"/>
  <c r="S1546" i="18" s="1"/>
  <c r="P1545" i="18"/>
  <c r="S1545" i="18" s="1"/>
  <c r="P1544" i="18"/>
  <c r="S1544" i="18" s="1"/>
  <c r="P1543" i="18"/>
  <c r="S1543" i="18" s="1"/>
  <c r="P1542" i="18"/>
  <c r="S1542" i="18" s="1"/>
  <c r="P1541" i="18"/>
  <c r="S1541" i="18" s="1"/>
  <c r="P1540" i="18"/>
  <c r="S1540" i="18" s="1"/>
  <c r="P1539" i="18"/>
  <c r="S1539" i="18" s="1"/>
  <c r="P1538" i="18"/>
  <c r="S1538" i="18" s="1"/>
  <c r="P1537" i="18"/>
  <c r="S1537" i="18" s="1"/>
  <c r="P1536" i="18"/>
  <c r="S1536" i="18" s="1"/>
  <c r="P1535" i="18"/>
  <c r="S1535" i="18" s="1"/>
  <c r="P1534" i="18"/>
  <c r="S1534" i="18" s="1"/>
  <c r="P1533" i="18"/>
  <c r="S1533" i="18" s="1"/>
  <c r="P1532" i="18"/>
  <c r="S1532" i="18" s="1"/>
  <c r="P1531" i="18"/>
  <c r="S1531" i="18" s="1"/>
  <c r="P1530" i="18"/>
  <c r="S1530" i="18" s="1"/>
  <c r="P1529" i="18"/>
  <c r="S1529" i="18" s="1"/>
  <c r="P1528" i="18"/>
  <c r="S1528" i="18" s="1"/>
  <c r="P1527" i="18"/>
  <c r="S1527" i="18" s="1"/>
  <c r="P1526" i="18"/>
  <c r="S1526" i="18" s="1"/>
  <c r="P1525" i="18"/>
  <c r="S1525" i="18" s="1"/>
  <c r="P1524" i="18"/>
  <c r="S1524" i="18" s="1"/>
  <c r="P1523" i="18"/>
  <c r="S1523" i="18" s="1"/>
  <c r="P1522" i="18"/>
  <c r="S1522" i="18" s="1"/>
  <c r="P1521" i="18"/>
  <c r="S1521" i="18" s="1"/>
  <c r="P1520" i="18"/>
  <c r="S1520" i="18" s="1"/>
  <c r="P1519" i="18"/>
  <c r="S1519" i="18" s="1"/>
  <c r="P1518" i="18"/>
  <c r="S1518" i="18" s="1"/>
  <c r="P1517" i="18"/>
  <c r="S1517" i="18" s="1"/>
  <c r="P1516" i="18"/>
  <c r="S1516" i="18" s="1"/>
  <c r="P1515" i="18"/>
  <c r="S1515" i="18" s="1"/>
  <c r="P1514" i="18"/>
  <c r="S1514" i="18" s="1"/>
  <c r="P1513" i="18"/>
  <c r="S1513" i="18" s="1"/>
  <c r="P1512" i="18"/>
  <c r="S1512" i="18" s="1"/>
  <c r="P1511" i="18"/>
  <c r="S1511" i="18" s="1"/>
  <c r="P1510" i="18"/>
  <c r="S1510" i="18" s="1"/>
  <c r="P1509" i="18"/>
  <c r="S1509" i="18" s="1"/>
  <c r="P1508" i="18"/>
  <c r="S1508" i="18" s="1"/>
  <c r="P1507" i="18"/>
  <c r="S1507" i="18" s="1"/>
  <c r="P1506" i="18"/>
  <c r="S1506" i="18" s="1"/>
  <c r="P1505" i="18"/>
  <c r="S1505" i="18" s="1"/>
  <c r="P1504" i="18"/>
  <c r="S1504" i="18" s="1"/>
  <c r="P1503" i="18"/>
  <c r="S1503" i="18" s="1"/>
  <c r="P1502" i="18"/>
  <c r="S1502" i="18" s="1"/>
  <c r="P1501" i="18"/>
  <c r="S1501" i="18" s="1"/>
  <c r="P1500" i="18"/>
  <c r="S1500" i="18" s="1"/>
  <c r="P1499" i="18"/>
  <c r="S1499" i="18" s="1"/>
  <c r="P1498" i="18"/>
  <c r="S1498" i="18" s="1"/>
  <c r="P1497" i="18"/>
  <c r="S1497" i="18" s="1"/>
  <c r="P1496" i="18"/>
  <c r="S1496" i="18" s="1"/>
  <c r="P1495" i="18"/>
  <c r="S1495" i="18" s="1"/>
  <c r="P1494" i="18"/>
  <c r="S1494" i="18" s="1"/>
  <c r="P1493" i="18"/>
  <c r="S1493" i="18" s="1"/>
  <c r="P1492" i="18"/>
  <c r="S1492" i="18" s="1"/>
  <c r="P1491" i="18"/>
  <c r="S1491" i="18" s="1"/>
  <c r="P1490" i="18"/>
  <c r="S1490" i="18" s="1"/>
  <c r="P1489" i="18"/>
  <c r="S1489" i="18" s="1"/>
  <c r="P1488" i="18"/>
  <c r="S1488" i="18" s="1"/>
  <c r="P1487" i="18"/>
  <c r="S1487" i="18" s="1"/>
  <c r="P1486" i="18"/>
  <c r="S1486" i="18" s="1"/>
  <c r="P1485" i="18"/>
  <c r="S1485" i="18" s="1"/>
  <c r="P1484" i="18"/>
  <c r="S1484" i="18" s="1"/>
  <c r="P1483" i="18"/>
  <c r="S1483" i="18" s="1"/>
  <c r="P1482" i="18"/>
  <c r="S1482" i="18" s="1"/>
  <c r="P1481" i="18"/>
  <c r="S1481" i="18" s="1"/>
  <c r="P1480" i="18"/>
  <c r="S1480" i="18" s="1"/>
  <c r="P1479" i="18"/>
  <c r="S1479" i="18" s="1"/>
  <c r="P1478" i="18"/>
  <c r="S1478" i="18" s="1"/>
  <c r="P1477" i="18"/>
  <c r="S1477" i="18" s="1"/>
  <c r="P1476" i="18"/>
  <c r="S1476" i="18" s="1"/>
  <c r="P1475" i="18"/>
  <c r="S1475" i="18" s="1"/>
  <c r="P1474" i="18"/>
  <c r="S1474" i="18" s="1"/>
  <c r="P1473" i="18"/>
  <c r="S1473" i="18" s="1"/>
  <c r="P1472" i="18"/>
  <c r="S1472" i="18" s="1"/>
  <c r="P1471" i="18"/>
  <c r="S1471" i="18" s="1"/>
  <c r="P1470" i="18"/>
  <c r="S1470" i="18" s="1"/>
  <c r="P1469" i="18"/>
  <c r="S1469" i="18" s="1"/>
  <c r="P1468" i="18"/>
  <c r="S1468" i="18" s="1"/>
  <c r="P1467" i="18"/>
  <c r="S1467" i="18" s="1"/>
  <c r="P1466" i="18"/>
  <c r="S1466" i="18" s="1"/>
  <c r="P1465" i="18"/>
  <c r="S1465" i="18" s="1"/>
  <c r="P1464" i="18"/>
  <c r="S1464" i="18" s="1"/>
  <c r="P1463" i="18"/>
  <c r="S1463" i="18" s="1"/>
  <c r="P1462" i="18"/>
  <c r="S1462" i="18" s="1"/>
  <c r="P1461" i="18"/>
  <c r="S1461" i="18" s="1"/>
  <c r="P1460" i="18"/>
  <c r="S1460" i="18" s="1"/>
  <c r="P1459" i="18"/>
  <c r="S1459" i="18" s="1"/>
  <c r="P1458" i="18"/>
  <c r="S1458" i="18" s="1"/>
  <c r="P1457" i="18"/>
  <c r="S1457" i="18" s="1"/>
  <c r="P1456" i="18"/>
  <c r="S1456" i="18" s="1"/>
  <c r="P1455" i="18"/>
  <c r="S1455" i="18" s="1"/>
  <c r="P1454" i="18"/>
  <c r="S1454" i="18" s="1"/>
  <c r="P1453" i="18"/>
  <c r="S1453" i="18" s="1"/>
  <c r="P1452" i="18"/>
  <c r="S1452" i="18" s="1"/>
  <c r="P1451" i="18"/>
  <c r="S1451" i="18" s="1"/>
  <c r="P1450" i="18"/>
  <c r="S1450" i="18" s="1"/>
  <c r="P1449" i="18"/>
  <c r="S1449" i="18" s="1"/>
  <c r="P1448" i="18"/>
  <c r="S1448" i="18" s="1"/>
  <c r="P1447" i="18"/>
  <c r="S1447" i="18" s="1"/>
  <c r="P1446" i="18"/>
  <c r="S1446" i="18" s="1"/>
  <c r="P1445" i="18"/>
  <c r="S1445" i="18" s="1"/>
  <c r="P1444" i="18"/>
  <c r="S1444" i="18" s="1"/>
  <c r="P1443" i="18"/>
  <c r="S1443" i="18" s="1"/>
  <c r="P1442" i="18"/>
  <c r="S1442" i="18" s="1"/>
  <c r="P1441" i="18"/>
  <c r="S1441" i="18" s="1"/>
  <c r="P1440" i="18"/>
  <c r="S1440" i="18" s="1"/>
  <c r="P1439" i="18"/>
  <c r="S1439" i="18" s="1"/>
  <c r="P1438" i="18"/>
  <c r="S1438" i="18" s="1"/>
  <c r="P1437" i="18"/>
  <c r="S1437" i="18" s="1"/>
  <c r="P1436" i="18"/>
  <c r="S1436" i="18" s="1"/>
  <c r="P1435" i="18"/>
  <c r="S1435" i="18" s="1"/>
  <c r="P1434" i="18"/>
  <c r="S1434" i="18" s="1"/>
  <c r="P1433" i="18"/>
  <c r="S1433" i="18" s="1"/>
  <c r="P1432" i="18"/>
  <c r="S1432" i="18" s="1"/>
  <c r="P1431" i="18"/>
  <c r="S1431" i="18" s="1"/>
  <c r="P1430" i="18"/>
  <c r="S1430" i="18" s="1"/>
  <c r="P1429" i="18"/>
  <c r="S1429" i="18" s="1"/>
  <c r="P1428" i="18"/>
  <c r="S1428" i="18" s="1"/>
  <c r="P1427" i="18"/>
  <c r="S1427" i="18" s="1"/>
  <c r="P1426" i="18"/>
  <c r="S1426" i="18" s="1"/>
  <c r="P1425" i="18"/>
  <c r="S1425" i="18" s="1"/>
  <c r="P1424" i="18"/>
  <c r="S1424" i="18" s="1"/>
  <c r="P1423" i="18"/>
  <c r="S1423" i="18" s="1"/>
  <c r="P1422" i="18"/>
  <c r="S1422" i="18" s="1"/>
  <c r="P1421" i="18"/>
  <c r="S1421" i="18" s="1"/>
  <c r="P1420" i="18"/>
  <c r="S1420" i="18" s="1"/>
  <c r="P1419" i="18"/>
  <c r="S1419" i="18" s="1"/>
  <c r="P1418" i="18"/>
  <c r="S1418" i="18" s="1"/>
  <c r="P1417" i="18"/>
  <c r="S1417" i="18" s="1"/>
  <c r="P1416" i="18"/>
  <c r="S1416" i="18" s="1"/>
  <c r="P1415" i="18"/>
  <c r="S1415" i="18" s="1"/>
  <c r="P1414" i="18"/>
  <c r="S1414" i="18" s="1"/>
  <c r="P1413" i="18"/>
  <c r="S1413" i="18" s="1"/>
  <c r="P1412" i="18"/>
  <c r="S1412" i="18" s="1"/>
  <c r="P1411" i="18"/>
  <c r="S1411" i="18" s="1"/>
  <c r="P1410" i="18"/>
  <c r="S1410" i="18" s="1"/>
  <c r="P1409" i="18"/>
  <c r="S1409" i="18" s="1"/>
  <c r="P1408" i="18"/>
  <c r="S1408" i="18" s="1"/>
  <c r="P1407" i="18"/>
  <c r="S1407" i="18" s="1"/>
  <c r="P1406" i="18"/>
  <c r="S1406" i="18" s="1"/>
  <c r="P1405" i="18"/>
  <c r="S1405" i="18" s="1"/>
  <c r="P1404" i="18"/>
  <c r="S1404" i="18" s="1"/>
  <c r="P1403" i="18"/>
  <c r="S1403" i="18" s="1"/>
  <c r="P1402" i="18"/>
  <c r="S1402" i="18" s="1"/>
  <c r="P1401" i="18"/>
  <c r="S1401" i="18" s="1"/>
  <c r="P1400" i="18"/>
  <c r="S1400" i="18" s="1"/>
  <c r="P1399" i="18"/>
  <c r="S1399" i="18" s="1"/>
  <c r="P1398" i="18"/>
  <c r="S1398" i="18" s="1"/>
  <c r="P1397" i="18"/>
  <c r="S1397" i="18" s="1"/>
  <c r="P1396" i="18"/>
  <c r="S1396" i="18" s="1"/>
  <c r="P1395" i="18"/>
  <c r="S1395" i="18" s="1"/>
  <c r="P1394" i="18"/>
  <c r="S1394" i="18" s="1"/>
  <c r="P1393" i="18"/>
  <c r="S1393" i="18" s="1"/>
  <c r="P1392" i="18"/>
  <c r="S1392" i="18" s="1"/>
  <c r="P1391" i="18"/>
  <c r="S1391" i="18" s="1"/>
  <c r="P1390" i="18"/>
  <c r="S1390" i="18" s="1"/>
  <c r="P1389" i="18"/>
  <c r="S1389" i="18" s="1"/>
  <c r="P1388" i="18"/>
  <c r="S1388" i="18" s="1"/>
  <c r="P1387" i="18"/>
  <c r="S1387" i="18" s="1"/>
  <c r="P1386" i="18"/>
  <c r="S1386" i="18" s="1"/>
  <c r="P1385" i="18"/>
  <c r="S1385" i="18" s="1"/>
  <c r="P1384" i="18"/>
  <c r="S1384" i="18" s="1"/>
  <c r="P1383" i="18"/>
  <c r="S1383" i="18" s="1"/>
  <c r="P1382" i="18"/>
  <c r="S1382" i="18" s="1"/>
  <c r="P1381" i="18"/>
  <c r="S1381" i="18" s="1"/>
  <c r="P1380" i="18"/>
  <c r="S1380" i="18" s="1"/>
  <c r="P1379" i="18"/>
  <c r="S1379" i="18" s="1"/>
  <c r="P1378" i="18"/>
  <c r="S1378" i="18" s="1"/>
  <c r="P1377" i="18"/>
  <c r="S1377" i="18" s="1"/>
  <c r="P1376" i="18"/>
  <c r="S1376" i="18" s="1"/>
  <c r="P1375" i="18"/>
  <c r="S1375" i="18" s="1"/>
  <c r="P1374" i="18"/>
  <c r="S1374" i="18" s="1"/>
  <c r="P1373" i="18"/>
  <c r="S1373" i="18" s="1"/>
  <c r="P1372" i="18"/>
  <c r="S1372" i="18" s="1"/>
  <c r="P1371" i="18"/>
  <c r="S1371" i="18" s="1"/>
  <c r="P1370" i="18"/>
  <c r="S1370" i="18" s="1"/>
  <c r="P1369" i="18"/>
  <c r="S1369" i="18" s="1"/>
  <c r="P1368" i="18"/>
  <c r="S1368" i="18" s="1"/>
  <c r="P1367" i="18"/>
  <c r="S1367" i="18" s="1"/>
  <c r="P1366" i="18"/>
  <c r="S1366" i="18" s="1"/>
  <c r="P1365" i="18"/>
  <c r="S1365" i="18" s="1"/>
  <c r="P1364" i="18"/>
  <c r="S1364" i="18" s="1"/>
  <c r="P1363" i="18"/>
  <c r="S1363" i="18" s="1"/>
  <c r="P1362" i="18"/>
  <c r="S1362" i="18" s="1"/>
  <c r="P1361" i="18"/>
  <c r="S1361" i="18" s="1"/>
  <c r="P1360" i="18"/>
  <c r="S1360" i="18" s="1"/>
  <c r="P1359" i="18"/>
  <c r="S1359" i="18" s="1"/>
  <c r="P1358" i="18"/>
  <c r="S1358" i="18" s="1"/>
  <c r="P1357" i="18"/>
  <c r="S1357" i="18" s="1"/>
  <c r="P1356" i="18"/>
  <c r="S1356" i="18" s="1"/>
  <c r="P1355" i="18"/>
  <c r="S1355" i="18" s="1"/>
  <c r="P1354" i="18"/>
  <c r="S1354" i="18" s="1"/>
  <c r="P1353" i="18"/>
  <c r="S1353" i="18" s="1"/>
  <c r="P1352" i="18"/>
  <c r="S1352" i="18" s="1"/>
  <c r="P1351" i="18"/>
  <c r="S1351" i="18" s="1"/>
  <c r="P1350" i="18"/>
  <c r="S1350" i="18" s="1"/>
  <c r="P1349" i="18"/>
  <c r="S1349" i="18" s="1"/>
  <c r="P1348" i="18"/>
  <c r="S1348" i="18" s="1"/>
  <c r="P1347" i="18"/>
  <c r="S1347" i="18" s="1"/>
  <c r="P1346" i="18"/>
  <c r="S1346" i="18" s="1"/>
  <c r="P1345" i="18"/>
  <c r="S1345" i="18" s="1"/>
  <c r="P1344" i="18"/>
  <c r="S1344" i="18" s="1"/>
  <c r="P1343" i="18"/>
  <c r="S1343" i="18" s="1"/>
  <c r="P1342" i="18"/>
  <c r="S1342" i="18" s="1"/>
  <c r="P1341" i="18"/>
  <c r="S1341" i="18" s="1"/>
  <c r="P1340" i="18"/>
  <c r="S1340" i="18" s="1"/>
  <c r="P1339" i="18"/>
  <c r="S1339" i="18" s="1"/>
  <c r="P1338" i="18"/>
  <c r="S1338" i="18" s="1"/>
  <c r="P1337" i="18"/>
  <c r="S1337" i="18" s="1"/>
  <c r="P1336" i="18"/>
  <c r="S1336" i="18" s="1"/>
  <c r="P1335" i="18"/>
  <c r="S1335" i="18" s="1"/>
  <c r="P1334" i="18"/>
  <c r="S1334" i="18" s="1"/>
  <c r="P1333" i="18"/>
  <c r="S1333" i="18" s="1"/>
  <c r="P1332" i="18"/>
  <c r="S1332" i="18" s="1"/>
  <c r="P1331" i="18"/>
  <c r="S1331" i="18" s="1"/>
  <c r="P1330" i="18"/>
  <c r="S1330" i="18" s="1"/>
  <c r="P1329" i="18"/>
  <c r="S1329" i="18" s="1"/>
  <c r="P1328" i="18"/>
  <c r="S1328" i="18" s="1"/>
  <c r="P1327" i="18"/>
  <c r="S1327" i="18" s="1"/>
  <c r="J754" i="18"/>
  <c r="J753" i="18"/>
  <c r="J752" i="18"/>
  <c r="J751" i="18"/>
  <c r="J750" i="18"/>
  <c r="J749" i="18"/>
  <c r="J748" i="18"/>
  <c r="J747" i="18"/>
  <c r="J746" i="18"/>
  <c r="J745" i="18"/>
  <c r="J744" i="18"/>
  <c r="J743" i="18"/>
  <c r="J742" i="18"/>
  <c r="J741" i="18"/>
  <c r="J740" i="18"/>
  <c r="J739" i="18"/>
  <c r="J738" i="18"/>
  <c r="J737" i="18"/>
  <c r="J681" i="18"/>
  <c r="J680" i="18"/>
  <c r="J679" i="18"/>
  <c r="J678" i="18"/>
  <c r="J677" i="18"/>
  <c r="J676" i="18"/>
  <c r="J675" i="18"/>
  <c r="J674" i="18"/>
  <c r="J673" i="18"/>
  <c r="J672" i="18"/>
  <c r="J671" i="18"/>
  <c r="J670" i="18"/>
  <c r="J669" i="18"/>
  <c r="J668" i="18"/>
  <c r="J580" i="18"/>
  <c r="J579" i="18"/>
  <c r="J578" i="18"/>
  <c r="J577" i="18"/>
  <c r="J576" i="18"/>
  <c r="J575" i="18"/>
  <c r="J574" i="18"/>
  <c r="J573" i="18"/>
  <c r="J572" i="18"/>
  <c r="J552" i="18"/>
  <c r="J551" i="18"/>
  <c r="J550" i="18"/>
  <c r="J549" i="18"/>
  <c r="J1798" i="18" l="1"/>
  <c r="J1820" i="18"/>
  <c r="J1852" i="18"/>
  <c r="J1957" i="18"/>
  <c r="J1795" i="18"/>
  <c r="J1836" i="18"/>
  <c r="R2070" i="18"/>
  <c r="S2070" i="18" s="1"/>
  <c r="R2069" i="18"/>
  <c r="S2069" i="18" s="1"/>
  <c r="R2068" i="18"/>
  <c r="S2068" i="18" s="1"/>
  <c r="R2067" i="18"/>
  <c r="S2067" i="18" s="1"/>
  <c r="J1756" i="18"/>
  <c r="J1768" i="18"/>
  <c r="J1909" i="18"/>
  <c r="J1973" i="18"/>
  <c r="J2025" i="18"/>
  <c r="J2061" i="18"/>
  <c r="J1913" i="18"/>
  <c r="J1925" i="18"/>
  <c r="J1937" i="18"/>
  <c r="J1969" i="18"/>
  <c r="J1917" i="18"/>
  <c r="J2013" i="18"/>
  <c r="J1801" i="18"/>
  <c r="J1844" i="18"/>
  <c r="J1865" i="18"/>
  <c r="J1897" i="18"/>
  <c r="J1929" i="18"/>
  <c r="J1993" i="18"/>
  <c r="J1781" i="18"/>
  <c r="J1921" i="18"/>
  <c r="J2005" i="18"/>
  <c r="J2037" i="18"/>
  <c r="J2049" i="18"/>
  <c r="J2066" i="18"/>
  <c r="J2076" i="18"/>
  <c r="J2086" i="18"/>
  <c r="J2096" i="18"/>
  <c r="J2106" i="18"/>
  <c r="J1750" i="18"/>
  <c r="J1762" i="18"/>
  <c r="J1828" i="18"/>
  <c r="J2057" i="18"/>
  <c r="J1753" i="18"/>
  <c r="J1765" i="18"/>
  <c r="J1877" i="18"/>
  <c r="J1949" i="18"/>
  <c r="J1804" i="18"/>
  <c r="J1889" i="18"/>
  <c r="J1655" i="18"/>
  <c r="J2033" i="18"/>
  <c r="J2101" i="18"/>
  <c r="J1961" i="18"/>
  <c r="J1985" i="18"/>
  <c r="J2045" i="18"/>
  <c r="J1861" i="18"/>
  <c r="J1941" i="18"/>
  <c r="J1965" i="18"/>
  <c r="J2081" i="18"/>
  <c r="J1812" i="18"/>
  <c r="J1832" i="18"/>
  <c r="J1873" i="18"/>
  <c r="J2017" i="18"/>
  <c r="P23" i="17"/>
  <c r="H11" i="17"/>
  <c r="G11" i="17"/>
  <c r="F11" i="17"/>
  <c r="H30" i="17"/>
  <c r="W30" i="17"/>
  <c r="W35" i="17" s="1"/>
  <c r="F30" i="17"/>
  <c r="H52" i="17"/>
  <c r="F52" i="17"/>
  <c r="R21" i="17"/>
  <c r="H21" i="17" s="1"/>
  <c r="H9" i="17"/>
  <c r="G9" i="17"/>
  <c r="F9" i="17"/>
  <c r="W29" i="17"/>
  <c r="W34" i="17" s="1"/>
  <c r="G48" i="17"/>
  <c r="G21" i="17"/>
  <c r="G29" i="17"/>
  <c r="N20" i="17"/>
  <c r="O18" i="17"/>
  <c r="L6" i="17"/>
  <c r="G6" i="17"/>
  <c r="F6" i="17"/>
  <c r="E6" i="17"/>
  <c r="G27" i="17"/>
  <c r="H35" i="17"/>
  <c r="G35" i="17"/>
  <c r="F35" i="17"/>
  <c r="H53" i="17"/>
  <c r="G53" i="17"/>
  <c r="F53" i="17"/>
  <c r="H59" i="17"/>
  <c r="G59" i="17"/>
  <c r="P60" i="17"/>
  <c r="F59" i="17"/>
  <c r="L5" i="17"/>
  <c r="O17" i="17"/>
  <c r="G5" i="17"/>
  <c r="F5" i="17"/>
  <c r="R22" i="17"/>
  <c r="H10" i="17"/>
  <c r="G10" i="17"/>
  <c r="F10" i="17"/>
  <c r="H43" i="17"/>
  <c r="G43" i="17"/>
  <c r="F43" i="17"/>
  <c r="W43" i="17"/>
  <c r="H46" i="17"/>
  <c r="F46" i="17"/>
  <c r="H24" i="17"/>
  <c r="G24" i="17"/>
  <c r="F24" i="17"/>
  <c r="R28" i="17"/>
  <c r="F28" i="17" s="1"/>
  <c r="N13" i="17"/>
  <c r="G4" i="17"/>
  <c r="E16" i="17"/>
  <c r="E28" i="17"/>
  <c r="L29" i="17"/>
  <c r="G30" i="17"/>
  <c r="E44" i="17"/>
  <c r="L45" i="17"/>
  <c r="G46" i="17"/>
  <c r="R49" i="17"/>
  <c r="H49" i="17" s="1"/>
  <c r="W54" i="17"/>
  <c r="W59" i="17"/>
  <c r="F7" i="17"/>
  <c r="N14" i="17"/>
  <c r="F16" i="17"/>
  <c r="R19" i="17"/>
  <c r="R25" i="17"/>
  <c r="H25" i="17" s="1"/>
  <c r="R31" i="17"/>
  <c r="F36" i="17"/>
  <c r="F44" i="17"/>
  <c r="F54" i="17"/>
  <c r="G7" i="17"/>
  <c r="G16" i="17"/>
  <c r="P26" i="17"/>
  <c r="N32" i="17"/>
  <c r="G36" i="17"/>
  <c r="G44" i="17"/>
  <c r="G54" i="17"/>
  <c r="L4" i="17"/>
  <c r="G13" i="17"/>
  <c r="F20" i="17"/>
  <c r="E29" i="17"/>
  <c r="F38" i="17"/>
  <c r="W39" i="17"/>
  <c r="E45" i="17"/>
  <c r="F47" i="17"/>
  <c r="J2380" i="18" s="1"/>
  <c r="G50" i="17"/>
  <c r="J2398" i="18" s="1"/>
  <c r="F51" i="17"/>
  <c r="J2404" i="18" s="1"/>
  <c r="F56" i="17"/>
  <c r="J2434" i="18" s="1"/>
  <c r="O3" i="17"/>
  <c r="F14" i="17"/>
  <c r="G20" i="17"/>
  <c r="F21" i="17"/>
  <c r="F29" i="17"/>
  <c r="G38" i="17"/>
  <c r="F39" i="17"/>
  <c r="F45" i="17"/>
  <c r="F61" i="17"/>
  <c r="J2464" i="18" s="1"/>
  <c r="N11" i="17"/>
  <c r="J2482" i="18"/>
  <c r="J1840" i="18"/>
  <c r="J1869" i="18"/>
  <c r="J2021" i="18"/>
  <c r="J2041" i="18"/>
  <c r="J1893" i="18"/>
  <c r="J1901" i="18"/>
  <c r="J1808" i="18"/>
  <c r="J1881" i="18"/>
  <c r="J1759" i="18"/>
  <c r="J1816" i="18"/>
  <c r="J1824" i="18"/>
  <c r="J1905" i="18"/>
  <c r="J1933" i="18"/>
  <c r="J2053" i="18"/>
  <c r="J2071" i="18"/>
  <c r="J1848" i="18"/>
  <c r="J1857" i="18"/>
  <c r="J1885" i="18"/>
  <c r="J1953" i="18"/>
  <c r="J1981" i="18"/>
  <c r="J1989" i="18"/>
  <c r="J2001" i="18"/>
  <c r="J2029" i="18"/>
  <c r="J2091" i="18"/>
  <c r="J2350" i="18"/>
  <c r="J2494" i="18"/>
  <c r="J2476" i="18"/>
  <c r="J2506" i="18"/>
  <c r="J2470" i="18"/>
  <c r="J2488" i="18"/>
  <c r="J2500" i="18"/>
  <c r="J2009" i="18"/>
  <c r="J2111" i="18"/>
  <c r="J2320" i="18"/>
  <c r="J2344" i="18"/>
  <c r="J2512" i="18"/>
  <c r="J1945" i="18"/>
  <c r="J2446" i="18"/>
  <c r="J1977" i="18"/>
  <c r="J1997" i="18"/>
  <c r="J2440" i="18"/>
  <c r="J2428" i="18"/>
  <c r="J1663" i="18"/>
  <c r="J1671" i="18"/>
  <c r="J1667" i="18"/>
  <c r="J1659" i="18"/>
  <c r="J729" i="18"/>
  <c r="J733" i="18"/>
  <c r="J553" i="18"/>
  <c r="J565" i="18"/>
  <c r="J557" i="18"/>
  <c r="J561" i="18"/>
  <c r="J504" i="18"/>
  <c r="J499" i="18"/>
  <c r="J494" i="18"/>
  <c r="J489" i="18"/>
  <c r="J449" i="18"/>
  <c r="J448" i="18"/>
  <c r="P410" i="18"/>
  <c r="P409" i="18"/>
  <c r="P408" i="18"/>
  <c r="P407" i="18"/>
  <c r="P405" i="18"/>
  <c r="P404" i="18"/>
  <c r="P403" i="18"/>
  <c r="P402" i="18"/>
  <c r="P401" i="18"/>
  <c r="P400" i="18"/>
  <c r="P399" i="18"/>
  <c r="P398" i="18"/>
  <c r="P397" i="18"/>
  <c r="P396" i="18"/>
  <c r="P395" i="18"/>
  <c r="P394" i="18"/>
  <c r="P393" i="18"/>
  <c r="P392" i="18"/>
  <c r="P391" i="18"/>
  <c r="P390" i="18"/>
  <c r="P389" i="18"/>
  <c r="P388" i="18"/>
  <c r="P423" i="18"/>
  <c r="P422" i="18"/>
  <c r="P421" i="18"/>
  <c r="P420" i="18"/>
  <c r="P419" i="18"/>
  <c r="P418" i="18"/>
  <c r="P417" i="18"/>
  <c r="P416" i="18"/>
  <c r="P415" i="18"/>
  <c r="P414" i="18"/>
  <c r="P413" i="18"/>
  <c r="P412" i="18"/>
  <c r="P429" i="18"/>
  <c r="P428" i="18"/>
  <c r="P427" i="18"/>
  <c r="P426" i="18"/>
  <c r="R615" i="18" s="1"/>
  <c r="S615" i="18" s="1"/>
  <c r="P425" i="18"/>
  <c r="P424" i="18"/>
  <c r="J484" i="18"/>
  <c r="K344" i="18"/>
  <c r="K343" i="18"/>
  <c r="K342" i="18"/>
  <c r="K341" i="18"/>
  <c r="K338" i="18"/>
  <c r="K337" i="18"/>
  <c r="K336" i="18"/>
  <c r="O336" i="18" s="1"/>
  <c r="K335" i="18"/>
  <c r="P345" i="18"/>
  <c r="P344" i="18"/>
  <c r="O344" i="18"/>
  <c r="P343" i="18"/>
  <c r="O343" i="18"/>
  <c r="P342" i="18"/>
  <c r="O342" i="18"/>
  <c r="P341" i="18"/>
  <c r="O341" i="18"/>
  <c r="P340" i="18"/>
  <c r="P339" i="18"/>
  <c r="P338" i="18"/>
  <c r="O338" i="18"/>
  <c r="P337" i="18"/>
  <c r="O337" i="18"/>
  <c r="P336" i="18"/>
  <c r="P335" i="18"/>
  <c r="O335" i="18"/>
  <c r="P334" i="18"/>
  <c r="P321" i="18"/>
  <c r="P320" i="18"/>
  <c r="O320" i="18"/>
  <c r="P319" i="18"/>
  <c r="O319" i="18"/>
  <c r="P318" i="18"/>
  <c r="O318" i="18"/>
  <c r="P317" i="18"/>
  <c r="O317" i="18"/>
  <c r="P316" i="18"/>
  <c r="P315" i="18"/>
  <c r="P314" i="18"/>
  <c r="O314" i="18"/>
  <c r="P313" i="18"/>
  <c r="O313" i="18"/>
  <c r="P312" i="18"/>
  <c r="P311" i="18"/>
  <c r="P310" i="18"/>
  <c r="P309" i="18"/>
  <c r="P308" i="18"/>
  <c r="O308" i="18"/>
  <c r="P307" i="18"/>
  <c r="O307" i="18"/>
  <c r="P306" i="18"/>
  <c r="O306" i="18"/>
  <c r="P305" i="18"/>
  <c r="O305" i="18"/>
  <c r="P304" i="18"/>
  <c r="J2518" i="18" l="1"/>
  <c r="J2338" i="18"/>
  <c r="J2278" i="18"/>
  <c r="J2146" i="18"/>
  <c r="J2302" i="18"/>
  <c r="J2386" i="18"/>
  <c r="R311" i="18"/>
  <c r="S311" i="18" s="1"/>
  <c r="R314" i="18"/>
  <c r="S314" i="18" s="1"/>
  <c r="R313" i="18"/>
  <c r="S313" i="18" s="1"/>
  <c r="R312" i="18"/>
  <c r="S312" i="18" s="1"/>
  <c r="S310" i="18"/>
  <c r="S400" i="18"/>
  <c r="R404" i="18"/>
  <c r="R403" i="18"/>
  <c r="R402" i="18"/>
  <c r="R401" i="18"/>
  <c r="R320" i="18"/>
  <c r="S320" i="18" s="1"/>
  <c r="R319" i="18"/>
  <c r="S319" i="18" s="1"/>
  <c r="R318" i="18"/>
  <c r="S318" i="18" s="1"/>
  <c r="R317" i="18"/>
  <c r="S317" i="18" s="1"/>
  <c r="S316" i="18"/>
  <c r="R428" i="18"/>
  <c r="S428" i="18" s="1"/>
  <c r="R427" i="18"/>
  <c r="S427" i="18" s="1"/>
  <c r="R426" i="18"/>
  <c r="S426" i="18" s="1"/>
  <c r="R425" i="18"/>
  <c r="S425" i="18" s="1"/>
  <c r="S424" i="18"/>
  <c r="R419" i="18"/>
  <c r="S418" i="18"/>
  <c r="R422" i="18"/>
  <c r="R421" i="18"/>
  <c r="R420" i="18"/>
  <c r="R398" i="18"/>
  <c r="R397" i="18"/>
  <c r="R396" i="18"/>
  <c r="R395" i="18"/>
  <c r="S394" i="18"/>
  <c r="R409" i="18"/>
  <c r="R408" i="18"/>
  <c r="R407" i="18"/>
  <c r="S406" i="18"/>
  <c r="R410" i="18"/>
  <c r="R338" i="18"/>
  <c r="S338" i="18" s="1"/>
  <c r="R337" i="18"/>
  <c r="S337" i="18" s="1"/>
  <c r="R336" i="18"/>
  <c r="S336" i="18" s="1"/>
  <c r="R335" i="18"/>
  <c r="S335" i="18" s="1"/>
  <c r="S334" i="18"/>
  <c r="R342" i="18"/>
  <c r="S342" i="18" s="1"/>
  <c r="R341" i="18"/>
  <c r="S341" i="18" s="1"/>
  <c r="R344" i="18"/>
  <c r="S344" i="18" s="1"/>
  <c r="R343" i="18"/>
  <c r="S343" i="18" s="1"/>
  <c r="S340" i="18"/>
  <c r="R416" i="18"/>
  <c r="S416" i="18" s="1"/>
  <c r="R415" i="18"/>
  <c r="S415" i="18" s="1"/>
  <c r="R414" i="18"/>
  <c r="S414" i="18" s="1"/>
  <c r="R413" i="18"/>
  <c r="S413" i="18" s="1"/>
  <c r="S412" i="18"/>
  <c r="R390" i="18"/>
  <c r="R389" i="18"/>
  <c r="R392" i="18"/>
  <c r="R391" i="18"/>
  <c r="S388" i="18"/>
  <c r="J2194" i="18"/>
  <c r="J2374" i="18"/>
  <c r="J2260" i="18"/>
  <c r="J2422" i="18"/>
  <c r="J2362" i="18"/>
  <c r="S304" i="18"/>
  <c r="R308" i="18"/>
  <c r="S308" i="18" s="1"/>
  <c r="R305" i="18"/>
  <c r="S305" i="18" s="1"/>
  <c r="R307" i="18"/>
  <c r="S307" i="18" s="1"/>
  <c r="R306" i="18"/>
  <c r="S306" i="18" s="1"/>
  <c r="J2290" i="18"/>
  <c r="J2452" i="18"/>
  <c r="J2326" i="18"/>
  <c r="J2416" i="18"/>
  <c r="J2218" i="18"/>
  <c r="J2242" i="18"/>
  <c r="J2308" i="18"/>
  <c r="J2134" i="18"/>
  <c r="J2332" i="18"/>
  <c r="J2368" i="18"/>
  <c r="J2128" i="18"/>
  <c r="J2170" i="18"/>
  <c r="J2122" i="18"/>
  <c r="J2272" i="18"/>
  <c r="J2410" i="18"/>
  <c r="J2356" i="18"/>
  <c r="J2548" i="18"/>
  <c r="G26" i="17"/>
  <c r="F26" i="17"/>
  <c r="H26" i="17"/>
  <c r="H60" i="17"/>
  <c r="G60" i="17"/>
  <c r="F60" i="17"/>
  <c r="H22" i="17"/>
  <c r="G22" i="17"/>
  <c r="F22" i="17"/>
  <c r="H19" i="17"/>
  <c r="G19" i="17"/>
  <c r="F19" i="17"/>
  <c r="G49" i="17"/>
  <c r="F25" i="17"/>
  <c r="L18" i="17"/>
  <c r="G18" i="17"/>
  <c r="F18" i="17"/>
  <c r="E18" i="17"/>
  <c r="N23" i="17"/>
  <c r="N7" i="17"/>
  <c r="F49" i="17"/>
  <c r="N10" i="17"/>
  <c r="N26" i="17"/>
  <c r="J2182" i="18"/>
  <c r="J2176" i="18"/>
  <c r="N9" i="17"/>
  <c r="N25" i="17"/>
  <c r="G25" i="17"/>
  <c r="H28" i="17"/>
  <c r="W28" i="17"/>
  <c r="W33" i="17" s="1"/>
  <c r="J2296" i="18" s="1"/>
  <c r="G17" i="17"/>
  <c r="F17" i="17"/>
  <c r="E17" i="17"/>
  <c r="L17" i="17"/>
  <c r="E3" i="17"/>
  <c r="O15" i="17"/>
  <c r="L3" i="17"/>
  <c r="G3" i="17"/>
  <c r="F3" i="17"/>
  <c r="G28" i="17"/>
  <c r="H31" i="17"/>
  <c r="W31" i="17"/>
  <c r="W36" i="17" s="1"/>
  <c r="G31" i="17"/>
  <c r="F31" i="17"/>
  <c r="H23" i="17"/>
  <c r="G23" i="17"/>
  <c r="F23" i="17"/>
  <c r="J2542" i="18"/>
  <c r="J2566" i="18"/>
  <c r="J2572" i="18"/>
  <c r="J2560" i="18"/>
  <c r="J2554" i="18"/>
  <c r="J2536" i="18"/>
  <c r="J2530" i="18"/>
  <c r="J2524" i="18"/>
  <c r="J480" i="18"/>
  <c r="J485" i="18"/>
  <c r="J495" i="18"/>
  <c r="J490" i="18"/>
  <c r="J500" i="18"/>
  <c r="J2314" i="18" l="1"/>
  <c r="J2266" i="18"/>
  <c r="J2164" i="18"/>
  <c r="J2206" i="18"/>
  <c r="J2254" i="18"/>
  <c r="J2392" i="18"/>
  <c r="J2158" i="18"/>
  <c r="N22" i="17"/>
  <c r="J2236" i="18"/>
  <c r="J2140" i="18"/>
  <c r="N19" i="17"/>
  <c r="J2116" i="18"/>
  <c r="J2248" i="18"/>
  <c r="J2200" i="18"/>
  <c r="J2152" i="18"/>
  <c r="N21" i="17"/>
  <c r="J2224" i="18" s="1"/>
  <c r="J2458" i="18"/>
  <c r="E15" i="17"/>
  <c r="L15" i="17"/>
  <c r="G15" i="17"/>
  <c r="F15" i="17"/>
  <c r="J2212" i="18" l="1"/>
  <c r="J2284" i="18"/>
  <c r="J2230" i="18"/>
  <c r="J2188" i="18"/>
  <c r="J253" i="18" l="1"/>
  <c r="J252" i="18"/>
  <c r="J251" i="18"/>
  <c r="J250" i="18"/>
  <c r="J249" i="18"/>
  <c r="J248" i="18"/>
  <c r="J247" i="18"/>
  <c r="J246" i="18"/>
  <c r="J245" i="18"/>
  <c r="J244" i="18"/>
  <c r="J243" i="18"/>
  <c r="J242" i="18"/>
  <c r="J241" i="18"/>
  <c r="J240" i="18"/>
  <c r="J199" i="18"/>
  <c r="J191" i="18"/>
  <c r="J188" i="18"/>
  <c r="J187" i="18"/>
  <c r="J186" i="18"/>
  <c r="J185" i="18"/>
  <c r="J184" i="18"/>
  <c r="J183" i="18"/>
  <c r="J140" i="18"/>
  <c r="J139" i="18"/>
  <c r="J138" i="18"/>
  <c r="J137" i="18"/>
  <c r="J136" i="18"/>
  <c r="J135" i="18"/>
  <c r="J134" i="18"/>
  <c r="J133" i="18"/>
  <c r="J132" i="18"/>
  <c r="J131" i="18"/>
  <c r="J120" i="18"/>
  <c r="J119" i="18"/>
  <c r="J118" i="18"/>
  <c r="J117" i="18"/>
  <c r="F19" i="7"/>
  <c r="J167" i="18" l="1"/>
  <c r="J193" i="18"/>
  <c r="J147" i="18"/>
  <c r="J144" i="18"/>
  <c r="J156" i="18"/>
  <c r="J141" i="18"/>
  <c r="J153" i="18"/>
  <c r="J189" i="18"/>
  <c r="J159" i="18"/>
  <c r="J179" i="18"/>
  <c r="J150" i="18"/>
  <c r="J163" i="18"/>
  <c r="J171" i="18"/>
  <c r="J196" i="18"/>
  <c r="J175" i="18"/>
  <c r="T3" i="14"/>
  <c r="T2" i="14"/>
  <c r="B24" i="20"/>
  <c r="C2" i="20" s="1"/>
  <c r="C6" i="20" s="1"/>
  <c r="B13" i="20" s="1"/>
  <c r="B15" i="20" s="1"/>
  <c r="F10" i="18" s="1"/>
  <c r="C13" i="20"/>
  <c r="B17" i="20" s="1"/>
  <c r="F9" i="18" s="1"/>
  <c r="J2662" i="18"/>
  <c r="J2661" i="18"/>
  <c r="J2660" i="18"/>
  <c r="J2659" i="18"/>
  <c r="J2658" i="18"/>
  <c r="J2657" i="18"/>
  <c r="J2656" i="18"/>
  <c r="P2655" i="18"/>
  <c r="S2655" i="18" s="1"/>
  <c r="O2655" i="18"/>
  <c r="K2655" i="18"/>
  <c r="P2654" i="18"/>
  <c r="S2654" i="18" s="1"/>
  <c r="O2654" i="18"/>
  <c r="K2654" i="18"/>
  <c r="P2653" i="18"/>
  <c r="S2653" i="18" s="1"/>
  <c r="O2653" i="18"/>
  <c r="K2653" i="18"/>
  <c r="P2652" i="18"/>
  <c r="S2652" i="18" s="1"/>
  <c r="O2652" i="18"/>
  <c r="K2652" i="18"/>
  <c r="P2651" i="18"/>
  <c r="S2651" i="18" s="1"/>
  <c r="O2651" i="18"/>
  <c r="K2651" i="18"/>
  <c r="P2650" i="18"/>
  <c r="S2650" i="18" s="1"/>
  <c r="O2650" i="18"/>
  <c r="K2650" i="18"/>
  <c r="P2649" i="18"/>
  <c r="S2649" i="18" s="1"/>
  <c r="O2649" i="18"/>
  <c r="K2649" i="18"/>
  <c r="P2648" i="18"/>
  <c r="S2648" i="18" s="1"/>
  <c r="O2648" i="18"/>
  <c r="K2648" i="18"/>
  <c r="P2647" i="18"/>
  <c r="S2647" i="18" s="1"/>
  <c r="O2647" i="18"/>
  <c r="K2647" i="18"/>
  <c r="P2646" i="18"/>
  <c r="S2646" i="18" s="1"/>
  <c r="O2646" i="18"/>
  <c r="K2646" i="18"/>
  <c r="P2645" i="18"/>
  <c r="S2645" i="18" s="1"/>
  <c r="O2645" i="18"/>
  <c r="K2645" i="18"/>
  <c r="P2644" i="18"/>
  <c r="S2644" i="18" s="1"/>
  <c r="O2644" i="18"/>
  <c r="K2644" i="18"/>
  <c r="P2643" i="18"/>
  <c r="S2643" i="18" s="1"/>
  <c r="O2643" i="18"/>
  <c r="K2643" i="18"/>
  <c r="P2642" i="18"/>
  <c r="S2642" i="18" s="1"/>
  <c r="O2642" i="18"/>
  <c r="K2642" i="18"/>
  <c r="P2640" i="18"/>
  <c r="S2640" i="18" s="1"/>
  <c r="O2640" i="18"/>
  <c r="K2640" i="18"/>
  <c r="P2639" i="18"/>
  <c r="S2639" i="18" s="1"/>
  <c r="O2639" i="18"/>
  <c r="K2639" i="18"/>
  <c r="P2638" i="18"/>
  <c r="S2638" i="18" s="1"/>
  <c r="O2638" i="18"/>
  <c r="K2638" i="18"/>
  <c r="P2637" i="18"/>
  <c r="S2637" i="18" s="1"/>
  <c r="O2637" i="18"/>
  <c r="K2637" i="18"/>
  <c r="P2636" i="18"/>
  <c r="S2636" i="18" s="1"/>
  <c r="O2636" i="18"/>
  <c r="K2636" i="18"/>
  <c r="P2635" i="18"/>
  <c r="S2635" i="18" s="1"/>
  <c r="O2635" i="18"/>
  <c r="K2635" i="18"/>
  <c r="P2634" i="18"/>
  <c r="S2634" i="18" s="1"/>
  <c r="O2634" i="18"/>
  <c r="K2634" i="18"/>
  <c r="P2633" i="18"/>
  <c r="S2633" i="18" s="1"/>
  <c r="O2633" i="18"/>
  <c r="K2633" i="18"/>
  <c r="P2632" i="18"/>
  <c r="S2632" i="18" s="1"/>
  <c r="O2632" i="18"/>
  <c r="K2632" i="18"/>
  <c r="P2631" i="18"/>
  <c r="S2631" i="18" s="1"/>
  <c r="O2631" i="18"/>
  <c r="K2631" i="18"/>
  <c r="P2630" i="18"/>
  <c r="S2630" i="18" s="1"/>
  <c r="O2630" i="18"/>
  <c r="K2630" i="18"/>
  <c r="P2629" i="18"/>
  <c r="S2629" i="18" s="1"/>
  <c r="O2629" i="18"/>
  <c r="K2629" i="18"/>
  <c r="P2628" i="18"/>
  <c r="S2628" i="18" s="1"/>
  <c r="O2628" i="18"/>
  <c r="K2628" i="18"/>
  <c r="P2627" i="18"/>
  <c r="S2627" i="18" s="1"/>
  <c r="O2627" i="18"/>
  <c r="K2627" i="18"/>
  <c r="P2626" i="18"/>
  <c r="S2626" i="18" s="1"/>
  <c r="O2626" i="18"/>
  <c r="K2626" i="18"/>
  <c r="P2625" i="18"/>
  <c r="S2625" i="18" s="1"/>
  <c r="O2625" i="18"/>
  <c r="K2625" i="18"/>
  <c r="P2623" i="18"/>
  <c r="S2623" i="18" s="1"/>
  <c r="P2622" i="18"/>
  <c r="S2622" i="18" s="1"/>
  <c r="P2621" i="18"/>
  <c r="S2621" i="18" s="1"/>
  <c r="P2620" i="18"/>
  <c r="S2620" i="18" s="1"/>
  <c r="P2619" i="18"/>
  <c r="S2619" i="18" s="1"/>
  <c r="P2618" i="18"/>
  <c r="S2618" i="18" s="1"/>
  <c r="P2617" i="18"/>
  <c r="S2617" i="18" s="1"/>
  <c r="P2616" i="18"/>
  <c r="S2616" i="18" s="1"/>
  <c r="P2615" i="18"/>
  <c r="S2615" i="18" s="1"/>
  <c r="P2614" i="18"/>
  <c r="S2614" i="18" s="1"/>
  <c r="P2612" i="18"/>
  <c r="S2612" i="18" s="1"/>
  <c r="P2611" i="18"/>
  <c r="S2611" i="18" s="1"/>
  <c r="P2609" i="18"/>
  <c r="S2609" i="18" s="1"/>
  <c r="O2609" i="18"/>
  <c r="K2609" i="18"/>
  <c r="P2608" i="18"/>
  <c r="S2608" i="18" s="1"/>
  <c r="O2608" i="18"/>
  <c r="K2608" i="18"/>
  <c r="P2607" i="18"/>
  <c r="S2607" i="18" s="1"/>
  <c r="O2607" i="18"/>
  <c r="K2607" i="18"/>
  <c r="P2606" i="18"/>
  <c r="S2606" i="18" s="1"/>
  <c r="O2606" i="18"/>
  <c r="K2606" i="18"/>
  <c r="P2605" i="18"/>
  <c r="S2605" i="18" s="1"/>
  <c r="O2605" i="18"/>
  <c r="K2605" i="18"/>
  <c r="P2604" i="18"/>
  <c r="S2604" i="18" s="1"/>
  <c r="O2604" i="18"/>
  <c r="K2604" i="18"/>
  <c r="P2603" i="18"/>
  <c r="S2603" i="18" s="1"/>
  <c r="O2603" i="18"/>
  <c r="K2603" i="18"/>
  <c r="P2602" i="18"/>
  <c r="S2602" i="18" s="1"/>
  <c r="O2602" i="18"/>
  <c r="K2602" i="18"/>
  <c r="P2601" i="18"/>
  <c r="S2601" i="18" s="1"/>
  <c r="O2601" i="18"/>
  <c r="K2601" i="18"/>
  <c r="P2600" i="18"/>
  <c r="S2600" i="18" s="1"/>
  <c r="O2600" i="18"/>
  <c r="K2600" i="18"/>
  <c r="P2599" i="18"/>
  <c r="S2599" i="18" s="1"/>
  <c r="O2599" i="18"/>
  <c r="K2599" i="18"/>
  <c r="P2598" i="18"/>
  <c r="S2598" i="18" s="1"/>
  <c r="O2598" i="18"/>
  <c r="K2598" i="18"/>
  <c r="P2597" i="18"/>
  <c r="S2597" i="18" s="1"/>
  <c r="O2597" i="18"/>
  <c r="K2597" i="18"/>
  <c r="P2596" i="18"/>
  <c r="S2596" i="18" s="1"/>
  <c r="O2596" i="18"/>
  <c r="K2596" i="18"/>
  <c r="P2595" i="18"/>
  <c r="S2595" i="18" s="1"/>
  <c r="O2595" i="18"/>
  <c r="K2595" i="18"/>
  <c r="P2594" i="18"/>
  <c r="S2594" i="18" s="1"/>
  <c r="O2594" i="18"/>
  <c r="K2594" i="18"/>
  <c r="P2593" i="18"/>
  <c r="S2593" i="18" s="1"/>
  <c r="O2593" i="18"/>
  <c r="K2593" i="18"/>
  <c r="P2592" i="18"/>
  <c r="S2592" i="18" s="1"/>
  <c r="O2592" i="18"/>
  <c r="K2592" i="18"/>
  <c r="P2591" i="18"/>
  <c r="S2591" i="18" s="1"/>
  <c r="O2591" i="18"/>
  <c r="K2591" i="18"/>
  <c r="P2590" i="18"/>
  <c r="S2590" i="18" s="1"/>
  <c r="O2590" i="18"/>
  <c r="K2590" i="18"/>
  <c r="P2589" i="18"/>
  <c r="S2589" i="18" s="1"/>
  <c r="O2589" i="18"/>
  <c r="K2589" i="18"/>
  <c r="P2588" i="18"/>
  <c r="S2588" i="18" s="1"/>
  <c r="O2588" i="18"/>
  <c r="K2588" i="18"/>
  <c r="P2587" i="18"/>
  <c r="S2587" i="18" s="1"/>
  <c r="O2587" i="18"/>
  <c r="K2587" i="18"/>
  <c r="P2586" i="18"/>
  <c r="S2586" i="18" s="1"/>
  <c r="O2586" i="18"/>
  <c r="K2586" i="18"/>
  <c r="P2585" i="18"/>
  <c r="S2585" i="18" s="1"/>
  <c r="O2585" i="18"/>
  <c r="K2585" i="18"/>
  <c r="P2584" i="18"/>
  <c r="S2584" i="18" s="1"/>
  <c r="O2584" i="18"/>
  <c r="K2584" i="18"/>
  <c r="P2583" i="18"/>
  <c r="S2583" i="18" s="1"/>
  <c r="O2583" i="18"/>
  <c r="K2583" i="18"/>
  <c r="P2582" i="18"/>
  <c r="S2582" i="18" s="1"/>
  <c r="O2582" i="18"/>
  <c r="K2582" i="18"/>
  <c r="P2581" i="18"/>
  <c r="S2581" i="18" s="1"/>
  <c r="O2581" i="18"/>
  <c r="K2581" i="18"/>
  <c r="P2580" i="18"/>
  <c r="S2580" i="18" s="1"/>
  <c r="O2580" i="18"/>
  <c r="K2580" i="18"/>
  <c r="P2579" i="18"/>
  <c r="S2579" i="18" s="1"/>
  <c r="O2579" i="18"/>
  <c r="P2577" i="18"/>
  <c r="K2577" i="18"/>
  <c r="O2577" i="18" s="1"/>
  <c r="P2576" i="18"/>
  <c r="K2576" i="18"/>
  <c r="O2576" i="18" s="1"/>
  <c r="P2575" i="18"/>
  <c r="K2575" i="18"/>
  <c r="O2575" i="18" s="1"/>
  <c r="P2574" i="18"/>
  <c r="K2574" i="18"/>
  <c r="O2574" i="18" s="1"/>
  <c r="P2573" i="18"/>
  <c r="O2573" i="18"/>
  <c r="K2573" i="18"/>
  <c r="P2572" i="18"/>
  <c r="P2571" i="18"/>
  <c r="K2571" i="18"/>
  <c r="O2571" i="18" s="1"/>
  <c r="P2570" i="18"/>
  <c r="K2570" i="18"/>
  <c r="O2570" i="18" s="1"/>
  <c r="P2569" i="18"/>
  <c r="K2569" i="18"/>
  <c r="O2569" i="18" s="1"/>
  <c r="P2568" i="18"/>
  <c r="K2568" i="18"/>
  <c r="O2568" i="18" s="1"/>
  <c r="P2567" i="18"/>
  <c r="K2567" i="18"/>
  <c r="O2567" i="18" s="1"/>
  <c r="P2566" i="18"/>
  <c r="P2565" i="18"/>
  <c r="K2565" i="18"/>
  <c r="O2565" i="18" s="1"/>
  <c r="P2564" i="18"/>
  <c r="K2564" i="18"/>
  <c r="O2564" i="18" s="1"/>
  <c r="P2563" i="18"/>
  <c r="K2563" i="18"/>
  <c r="O2563" i="18" s="1"/>
  <c r="P2562" i="18"/>
  <c r="K2562" i="18"/>
  <c r="O2562" i="18" s="1"/>
  <c r="P2561" i="18"/>
  <c r="K2561" i="18"/>
  <c r="O2561" i="18" s="1"/>
  <c r="P2560" i="18"/>
  <c r="P2559" i="18"/>
  <c r="K2559" i="18"/>
  <c r="O2559" i="18" s="1"/>
  <c r="P2558" i="18"/>
  <c r="K2558" i="18"/>
  <c r="O2558" i="18" s="1"/>
  <c r="P2557" i="18"/>
  <c r="K2557" i="18"/>
  <c r="O2557" i="18" s="1"/>
  <c r="P2556" i="18"/>
  <c r="O2556" i="18"/>
  <c r="K2556" i="18"/>
  <c r="P2555" i="18"/>
  <c r="O2555" i="18"/>
  <c r="K2555" i="18"/>
  <c r="P2554" i="18"/>
  <c r="P2553" i="18"/>
  <c r="O2553" i="18"/>
  <c r="K2553" i="18"/>
  <c r="P2552" i="18"/>
  <c r="K2552" i="18"/>
  <c r="O2552" i="18" s="1"/>
  <c r="P2551" i="18"/>
  <c r="K2551" i="18"/>
  <c r="O2551" i="18" s="1"/>
  <c r="P2550" i="18"/>
  <c r="K2550" i="18"/>
  <c r="O2550" i="18" s="1"/>
  <c r="P2549" i="18"/>
  <c r="K2549" i="18"/>
  <c r="O2549" i="18" s="1"/>
  <c r="P2548" i="18"/>
  <c r="P2547" i="18"/>
  <c r="K2547" i="18"/>
  <c r="O2547" i="18" s="1"/>
  <c r="P2546" i="18"/>
  <c r="O2546" i="18"/>
  <c r="K2546" i="18"/>
  <c r="P2545" i="18"/>
  <c r="K2545" i="18"/>
  <c r="O2545" i="18" s="1"/>
  <c r="P2544" i="18"/>
  <c r="K2544" i="18"/>
  <c r="O2544" i="18" s="1"/>
  <c r="P2543" i="18"/>
  <c r="K2543" i="18"/>
  <c r="O2543" i="18" s="1"/>
  <c r="P2542" i="18"/>
  <c r="P2541" i="18"/>
  <c r="K2541" i="18"/>
  <c r="O2541" i="18" s="1"/>
  <c r="P2540" i="18"/>
  <c r="K2540" i="18"/>
  <c r="O2540" i="18" s="1"/>
  <c r="P2539" i="18"/>
  <c r="O2539" i="18"/>
  <c r="K2539" i="18"/>
  <c r="P2538" i="18"/>
  <c r="O2538" i="18"/>
  <c r="K2538" i="18"/>
  <c r="P2537" i="18"/>
  <c r="K2537" i="18"/>
  <c r="O2537" i="18" s="1"/>
  <c r="P2536" i="18"/>
  <c r="P2535" i="18"/>
  <c r="K2535" i="18"/>
  <c r="O2535" i="18" s="1"/>
  <c r="P2534" i="18"/>
  <c r="K2534" i="18"/>
  <c r="O2534" i="18" s="1"/>
  <c r="P2533" i="18"/>
  <c r="K2533" i="18"/>
  <c r="O2533" i="18" s="1"/>
  <c r="P2532" i="18"/>
  <c r="O2532" i="18"/>
  <c r="K2532" i="18"/>
  <c r="P2531" i="18"/>
  <c r="K2531" i="18"/>
  <c r="O2531" i="18" s="1"/>
  <c r="P2530" i="18"/>
  <c r="P2529" i="18"/>
  <c r="O2529" i="18"/>
  <c r="K2529" i="18"/>
  <c r="P2528" i="18"/>
  <c r="K2528" i="18"/>
  <c r="O2528" i="18" s="1"/>
  <c r="P2527" i="18"/>
  <c r="K2527" i="18"/>
  <c r="O2527" i="18" s="1"/>
  <c r="P2526" i="18"/>
  <c r="K2526" i="18"/>
  <c r="O2526" i="18" s="1"/>
  <c r="P2525" i="18"/>
  <c r="K2525" i="18"/>
  <c r="O2525" i="18" s="1"/>
  <c r="P2524" i="18"/>
  <c r="P2523" i="18"/>
  <c r="K2523" i="18"/>
  <c r="O2523" i="18" s="1"/>
  <c r="P2522" i="18"/>
  <c r="K2522" i="18"/>
  <c r="O2522" i="18" s="1"/>
  <c r="P2521" i="18"/>
  <c r="O2521" i="18"/>
  <c r="K2521" i="18"/>
  <c r="P2520" i="18"/>
  <c r="K2520" i="18"/>
  <c r="O2520" i="18" s="1"/>
  <c r="P2519" i="18"/>
  <c r="K2519" i="18"/>
  <c r="O2519" i="18" s="1"/>
  <c r="P2518" i="18"/>
  <c r="P2517" i="18"/>
  <c r="K2517" i="18"/>
  <c r="O2517" i="18" s="1"/>
  <c r="P2516" i="18"/>
  <c r="K2516" i="18"/>
  <c r="O2516" i="18" s="1"/>
  <c r="P2515" i="18"/>
  <c r="K2515" i="18"/>
  <c r="O2515" i="18" s="1"/>
  <c r="P2514" i="18"/>
  <c r="K2514" i="18"/>
  <c r="O2514" i="18" s="1"/>
  <c r="P2513" i="18"/>
  <c r="K2513" i="18"/>
  <c r="O2513" i="18" s="1"/>
  <c r="P2512" i="18"/>
  <c r="P2511" i="18"/>
  <c r="K2511" i="18"/>
  <c r="O2511" i="18" s="1"/>
  <c r="P2510" i="18"/>
  <c r="K2510" i="18"/>
  <c r="O2510" i="18" s="1"/>
  <c r="P2509" i="18"/>
  <c r="K2509" i="18"/>
  <c r="O2509" i="18" s="1"/>
  <c r="P2508" i="18"/>
  <c r="K2508" i="18"/>
  <c r="O2508" i="18" s="1"/>
  <c r="P2507" i="18"/>
  <c r="K2507" i="18"/>
  <c r="O2507" i="18" s="1"/>
  <c r="P2506" i="18"/>
  <c r="P2505" i="18"/>
  <c r="O2505" i="18"/>
  <c r="K2505" i="18"/>
  <c r="P2504" i="18"/>
  <c r="O2504" i="18"/>
  <c r="K2504" i="18"/>
  <c r="P2503" i="18"/>
  <c r="K2503" i="18"/>
  <c r="O2503" i="18" s="1"/>
  <c r="P2502" i="18"/>
  <c r="K2502" i="18"/>
  <c r="O2502" i="18" s="1"/>
  <c r="P2501" i="18"/>
  <c r="K2501" i="18"/>
  <c r="O2501" i="18" s="1"/>
  <c r="P2500" i="18"/>
  <c r="P2499" i="18"/>
  <c r="K2499" i="18"/>
  <c r="O2499" i="18" s="1"/>
  <c r="P2498" i="18"/>
  <c r="O2498" i="18"/>
  <c r="K2498" i="18"/>
  <c r="P2497" i="18"/>
  <c r="O2497" i="18"/>
  <c r="K2497" i="18"/>
  <c r="P2496" i="18"/>
  <c r="K2496" i="18"/>
  <c r="O2496" i="18" s="1"/>
  <c r="P2495" i="18"/>
  <c r="K2495" i="18"/>
  <c r="O2495" i="18" s="1"/>
  <c r="P2494" i="18"/>
  <c r="P2493" i="18"/>
  <c r="K2493" i="18"/>
  <c r="O2493" i="18" s="1"/>
  <c r="P2492" i="18"/>
  <c r="K2492" i="18"/>
  <c r="O2492" i="18" s="1"/>
  <c r="P2491" i="18"/>
  <c r="O2491" i="18"/>
  <c r="K2491" i="18"/>
  <c r="P2490" i="18"/>
  <c r="K2490" i="18"/>
  <c r="O2490" i="18" s="1"/>
  <c r="P2489" i="18"/>
  <c r="K2489" i="18"/>
  <c r="O2489" i="18" s="1"/>
  <c r="P2488" i="18"/>
  <c r="P2487" i="18"/>
  <c r="O2487" i="18"/>
  <c r="K2487" i="18"/>
  <c r="P2486" i="18"/>
  <c r="K2486" i="18"/>
  <c r="O2486" i="18" s="1"/>
  <c r="P2485" i="18"/>
  <c r="K2485" i="18"/>
  <c r="O2485" i="18" s="1"/>
  <c r="P2484" i="18"/>
  <c r="O2484" i="18"/>
  <c r="K2484" i="18"/>
  <c r="P2483" i="18"/>
  <c r="K2483" i="18"/>
  <c r="O2483" i="18" s="1"/>
  <c r="P2482" i="18"/>
  <c r="P2481" i="18"/>
  <c r="K2481" i="18"/>
  <c r="O2481" i="18" s="1"/>
  <c r="P2480" i="18"/>
  <c r="K2480" i="18"/>
  <c r="O2480" i="18" s="1"/>
  <c r="P2479" i="18"/>
  <c r="K2479" i="18"/>
  <c r="O2479" i="18" s="1"/>
  <c r="P2478" i="18"/>
  <c r="K2478" i="18"/>
  <c r="O2478" i="18" s="1"/>
  <c r="P2477" i="18"/>
  <c r="O2477" i="18"/>
  <c r="K2477" i="18"/>
  <c r="P2476" i="18"/>
  <c r="P2475" i="18"/>
  <c r="K2475" i="18"/>
  <c r="O2475" i="18" s="1"/>
  <c r="P2474" i="18"/>
  <c r="K2474" i="18"/>
  <c r="O2474" i="18" s="1"/>
  <c r="P2473" i="18"/>
  <c r="K2473" i="18"/>
  <c r="O2473" i="18" s="1"/>
  <c r="P2472" i="18"/>
  <c r="K2472" i="18"/>
  <c r="O2472" i="18" s="1"/>
  <c r="P2471" i="18"/>
  <c r="K2471" i="18"/>
  <c r="O2471" i="18" s="1"/>
  <c r="P2470" i="18"/>
  <c r="P2469" i="18"/>
  <c r="K2469" i="18"/>
  <c r="O2469" i="18" s="1"/>
  <c r="P2468" i="18"/>
  <c r="K2468" i="18"/>
  <c r="O2468" i="18" s="1"/>
  <c r="P2467" i="18"/>
  <c r="O2467" i="18"/>
  <c r="K2467" i="18"/>
  <c r="P2466" i="18"/>
  <c r="O2466" i="18"/>
  <c r="K2466" i="18"/>
  <c r="P2465" i="18"/>
  <c r="K2465" i="18"/>
  <c r="O2465" i="18" s="1"/>
  <c r="P2464" i="18"/>
  <c r="P2463" i="18"/>
  <c r="K2463" i="18"/>
  <c r="O2463" i="18" s="1"/>
  <c r="P2462" i="18"/>
  <c r="K2462" i="18"/>
  <c r="O2462" i="18" s="1"/>
  <c r="P2461" i="18"/>
  <c r="K2461" i="18"/>
  <c r="O2461" i="18" s="1"/>
  <c r="P2460" i="18"/>
  <c r="K2460" i="18"/>
  <c r="O2460" i="18" s="1"/>
  <c r="P2459" i="18"/>
  <c r="O2459" i="18"/>
  <c r="K2459" i="18"/>
  <c r="P2458" i="18"/>
  <c r="P2457" i="18"/>
  <c r="O2457" i="18"/>
  <c r="K2457" i="18"/>
  <c r="P2456" i="18"/>
  <c r="K2456" i="18"/>
  <c r="O2456" i="18" s="1"/>
  <c r="P2455" i="18"/>
  <c r="K2455" i="18"/>
  <c r="O2455" i="18" s="1"/>
  <c r="P2454" i="18"/>
  <c r="K2454" i="18"/>
  <c r="O2454" i="18" s="1"/>
  <c r="P2453" i="18"/>
  <c r="O2453" i="18"/>
  <c r="K2453" i="18"/>
  <c r="P2452" i="18"/>
  <c r="P2451" i="18"/>
  <c r="K2451" i="18"/>
  <c r="O2451" i="18" s="1"/>
  <c r="P2450" i="18"/>
  <c r="O2450" i="18"/>
  <c r="K2450" i="18"/>
  <c r="P2449" i="18"/>
  <c r="K2449" i="18"/>
  <c r="O2449" i="18" s="1"/>
  <c r="P2448" i="18"/>
  <c r="K2448" i="18"/>
  <c r="O2448" i="18" s="1"/>
  <c r="P2447" i="18"/>
  <c r="K2447" i="18"/>
  <c r="O2447" i="18" s="1"/>
  <c r="P2446" i="18"/>
  <c r="P2445" i="18"/>
  <c r="K2445" i="18"/>
  <c r="O2445" i="18" s="1"/>
  <c r="P2444" i="18"/>
  <c r="K2444" i="18"/>
  <c r="O2444" i="18" s="1"/>
  <c r="P2443" i="18"/>
  <c r="K2443" i="18"/>
  <c r="O2443" i="18" s="1"/>
  <c r="P2442" i="18"/>
  <c r="K2442" i="18"/>
  <c r="O2442" i="18" s="1"/>
  <c r="P2441" i="18"/>
  <c r="K2441" i="18"/>
  <c r="O2441" i="18" s="1"/>
  <c r="P2440" i="18"/>
  <c r="P2439" i="18"/>
  <c r="K2439" i="18"/>
  <c r="O2439" i="18" s="1"/>
  <c r="P2438" i="18"/>
  <c r="K2438" i="18"/>
  <c r="O2438" i="18" s="1"/>
  <c r="P2437" i="18"/>
  <c r="K2437" i="18"/>
  <c r="O2437" i="18" s="1"/>
  <c r="P2436" i="18"/>
  <c r="O2436" i="18"/>
  <c r="K2436" i="18"/>
  <c r="P2435" i="18"/>
  <c r="K2435" i="18"/>
  <c r="O2435" i="18" s="1"/>
  <c r="P2434" i="18"/>
  <c r="P2433" i="18"/>
  <c r="O2433" i="18"/>
  <c r="K2433" i="18"/>
  <c r="P2432" i="18"/>
  <c r="O2432" i="18"/>
  <c r="K2432" i="18"/>
  <c r="P2431" i="18"/>
  <c r="K2431" i="18"/>
  <c r="O2431" i="18" s="1"/>
  <c r="P2430" i="18"/>
  <c r="K2430" i="18"/>
  <c r="O2430" i="18" s="1"/>
  <c r="P2429" i="18"/>
  <c r="K2429" i="18"/>
  <c r="O2429" i="18" s="1"/>
  <c r="P2428" i="18"/>
  <c r="P2427" i="18"/>
  <c r="K2427" i="18"/>
  <c r="O2427" i="18" s="1"/>
  <c r="P2426" i="18"/>
  <c r="K2426" i="18"/>
  <c r="O2426" i="18" s="1"/>
  <c r="P2425" i="18"/>
  <c r="K2425" i="18"/>
  <c r="O2425" i="18" s="1"/>
  <c r="P2424" i="18"/>
  <c r="K2424" i="18"/>
  <c r="O2424" i="18" s="1"/>
  <c r="P2423" i="18"/>
  <c r="K2423" i="18"/>
  <c r="O2423" i="18" s="1"/>
  <c r="P2422" i="18"/>
  <c r="P2421" i="18"/>
  <c r="K2421" i="18"/>
  <c r="O2421" i="18" s="1"/>
  <c r="P2420" i="18"/>
  <c r="K2420" i="18"/>
  <c r="O2420" i="18" s="1"/>
  <c r="P2419" i="18"/>
  <c r="O2419" i="18"/>
  <c r="K2419" i="18"/>
  <c r="P2418" i="18"/>
  <c r="K2418" i="18"/>
  <c r="O2418" i="18" s="1"/>
  <c r="P2417" i="18"/>
  <c r="K2417" i="18"/>
  <c r="O2417" i="18" s="1"/>
  <c r="P2416" i="18"/>
  <c r="P2415" i="18"/>
  <c r="O2415" i="18"/>
  <c r="K2415" i="18"/>
  <c r="P2414" i="18"/>
  <c r="K2414" i="18"/>
  <c r="O2414" i="18" s="1"/>
  <c r="P2413" i="18"/>
  <c r="K2413" i="18"/>
  <c r="O2413" i="18" s="1"/>
  <c r="P2412" i="18"/>
  <c r="K2412" i="18"/>
  <c r="O2412" i="18" s="1"/>
  <c r="P2411" i="18"/>
  <c r="K2411" i="18"/>
  <c r="O2411" i="18" s="1"/>
  <c r="P2410" i="18"/>
  <c r="P2409" i="18"/>
  <c r="K2409" i="18"/>
  <c r="O2409" i="18" s="1"/>
  <c r="P2408" i="18"/>
  <c r="K2408" i="18"/>
  <c r="O2408" i="18" s="1"/>
  <c r="P2407" i="18"/>
  <c r="K2407" i="18"/>
  <c r="O2407" i="18" s="1"/>
  <c r="P2406" i="18"/>
  <c r="K2406" i="18"/>
  <c r="O2406" i="18" s="1"/>
  <c r="P2405" i="18"/>
  <c r="O2405" i="18"/>
  <c r="K2405" i="18"/>
  <c r="P2404" i="18"/>
  <c r="P2403" i="18"/>
  <c r="K2403" i="18"/>
  <c r="O2403" i="18" s="1"/>
  <c r="P2402" i="18"/>
  <c r="K2402" i="18"/>
  <c r="O2402" i="18" s="1"/>
  <c r="P2401" i="18"/>
  <c r="K2401" i="18"/>
  <c r="O2401" i="18" s="1"/>
  <c r="P2400" i="18"/>
  <c r="K2400" i="18"/>
  <c r="O2400" i="18" s="1"/>
  <c r="P2399" i="18"/>
  <c r="K2399" i="18"/>
  <c r="O2399" i="18" s="1"/>
  <c r="P2398" i="18"/>
  <c r="P2397" i="18"/>
  <c r="K2397" i="18"/>
  <c r="O2397" i="18" s="1"/>
  <c r="P2396" i="18"/>
  <c r="K2396" i="18"/>
  <c r="O2396" i="18" s="1"/>
  <c r="P2395" i="18"/>
  <c r="K2395" i="18"/>
  <c r="O2395" i="18" s="1"/>
  <c r="P2394" i="18"/>
  <c r="K2394" i="18"/>
  <c r="O2394" i="18" s="1"/>
  <c r="P2393" i="18"/>
  <c r="K2393" i="18"/>
  <c r="O2393" i="18" s="1"/>
  <c r="P2392" i="18"/>
  <c r="P2391" i="18"/>
  <c r="O2391" i="18"/>
  <c r="K2391" i="18"/>
  <c r="P2390" i="18"/>
  <c r="K2390" i="18"/>
  <c r="O2390" i="18" s="1"/>
  <c r="P2389" i="18"/>
  <c r="K2389" i="18"/>
  <c r="O2389" i="18" s="1"/>
  <c r="P2388" i="18"/>
  <c r="K2388" i="18"/>
  <c r="O2388" i="18" s="1"/>
  <c r="P2387" i="18"/>
  <c r="K2387" i="18"/>
  <c r="O2387" i="18" s="1"/>
  <c r="P2386" i="18"/>
  <c r="P2385" i="18"/>
  <c r="K2385" i="18"/>
  <c r="O2385" i="18" s="1"/>
  <c r="P2384" i="18"/>
  <c r="K2384" i="18"/>
  <c r="O2384" i="18" s="1"/>
  <c r="P2383" i="18"/>
  <c r="K2383" i="18"/>
  <c r="O2383" i="18" s="1"/>
  <c r="P2382" i="18"/>
  <c r="K2382" i="18"/>
  <c r="O2382" i="18" s="1"/>
  <c r="P2381" i="18"/>
  <c r="K2381" i="18"/>
  <c r="O2381" i="18" s="1"/>
  <c r="P2380" i="18"/>
  <c r="P2379" i="18"/>
  <c r="K2379" i="18"/>
  <c r="O2379" i="18" s="1"/>
  <c r="P2378" i="18"/>
  <c r="K2378" i="18"/>
  <c r="O2378" i="18" s="1"/>
  <c r="P2377" i="18"/>
  <c r="K2377" i="18"/>
  <c r="O2377" i="18" s="1"/>
  <c r="P2376" i="18"/>
  <c r="K2376" i="18"/>
  <c r="O2376" i="18" s="1"/>
  <c r="P2375" i="18"/>
  <c r="K2375" i="18"/>
  <c r="O2375" i="18" s="1"/>
  <c r="P2374" i="18"/>
  <c r="P2373" i="18"/>
  <c r="K2373" i="18"/>
  <c r="O2373" i="18" s="1"/>
  <c r="P2372" i="18"/>
  <c r="K2372" i="18"/>
  <c r="O2372" i="18" s="1"/>
  <c r="P2371" i="18"/>
  <c r="O2371" i="18"/>
  <c r="K2371" i="18"/>
  <c r="P2370" i="18"/>
  <c r="K2370" i="18"/>
  <c r="O2370" i="18" s="1"/>
  <c r="P2369" i="18"/>
  <c r="K2369" i="18"/>
  <c r="O2369" i="18" s="1"/>
  <c r="P2368" i="18"/>
  <c r="P2367" i="18"/>
  <c r="K2367" i="18"/>
  <c r="O2367" i="18" s="1"/>
  <c r="P2366" i="18"/>
  <c r="K2366" i="18"/>
  <c r="O2366" i="18" s="1"/>
  <c r="P2365" i="18"/>
  <c r="K2365" i="18"/>
  <c r="O2365" i="18" s="1"/>
  <c r="P2364" i="18"/>
  <c r="K2364" i="18"/>
  <c r="O2364" i="18" s="1"/>
  <c r="P2363" i="18"/>
  <c r="O2363" i="18"/>
  <c r="K2363" i="18"/>
  <c r="P2362" i="18"/>
  <c r="P2361" i="18"/>
  <c r="K2361" i="18"/>
  <c r="O2361" i="18" s="1"/>
  <c r="P2360" i="18"/>
  <c r="K2360" i="18"/>
  <c r="O2360" i="18" s="1"/>
  <c r="P2359" i="18"/>
  <c r="K2359" i="18"/>
  <c r="O2359" i="18" s="1"/>
  <c r="P2358" i="18"/>
  <c r="K2358" i="18"/>
  <c r="O2358" i="18" s="1"/>
  <c r="P2357" i="18"/>
  <c r="O2357" i="18"/>
  <c r="K2357" i="18"/>
  <c r="P2356" i="18"/>
  <c r="P2355" i="18"/>
  <c r="K2355" i="18"/>
  <c r="O2355" i="18" s="1"/>
  <c r="P2354" i="18"/>
  <c r="O2354" i="18"/>
  <c r="K2354" i="18"/>
  <c r="P2353" i="18"/>
  <c r="K2353" i="18"/>
  <c r="O2353" i="18" s="1"/>
  <c r="P2352" i="18"/>
  <c r="K2352" i="18"/>
  <c r="O2352" i="18" s="1"/>
  <c r="P2351" i="18"/>
  <c r="K2351" i="18"/>
  <c r="O2351" i="18" s="1"/>
  <c r="P2350" i="18"/>
  <c r="P2349" i="18"/>
  <c r="K2349" i="18"/>
  <c r="O2349" i="18" s="1"/>
  <c r="P2348" i="18"/>
  <c r="K2348" i="18"/>
  <c r="O2348" i="18" s="1"/>
  <c r="P2347" i="18"/>
  <c r="K2347" i="18"/>
  <c r="O2347" i="18" s="1"/>
  <c r="P2346" i="18"/>
  <c r="O2346" i="18"/>
  <c r="K2346" i="18"/>
  <c r="P2345" i="18"/>
  <c r="K2345" i="18"/>
  <c r="O2345" i="18" s="1"/>
  <c r="P2344" i="18"/>
  <c r="P2343" i="18"/>
  <c r="K2343" i="18"/>
  <c r="O2343" i="18" s="1"/>
  <c r="P2342" i="18"/>
  <c r="K2342" i="18"/>
  <c r="O2342" i="18" s="1"/>
  <c r="P2341" i="18"/>
  <c r="K2341" i="18"/>
  <c r="O2341" i="18" s="1"/>
  <c r="P2340" i="18"/>
  <c r="K2340" i="18"/>
  <c r="O2340" i="18" s="1"/>
  <c r="P2339" i="18"/>
  <c r="O2339" i="18"/>
  <c r="K2339" i="18"/>
  <c r="P2338" i="18"/>
  <c r="P2337" i="18"/>
  <c r="O2337" i="18"/>
  <c r="K2337" i="18"/>
  <c r="P2336" i="18"/>
  <c r="K2336" i="18"/>
  <c r="O2336" i="18" s="1"/>
  <c r="P2335" i="18"/>
  <c r="K2335" i="18"/>
  <c r="O2335" i="18" s="1"/>
  <c r="P2334" i="18"/>
  <c r="K2334" i="18"/>
  <c r="O2334" i="18" s="1"/>
  <c r="P2333" i="18"/>
  <c r="K2333" i="18"/>
  <c r="O2333" i="18" s="1"/>
  <c r="P2332" i="18"/>
  <c r="P2331" i="18"/>
  <c r="K2331" i="18"/>
  <c r="O2331" i="18" s="1"/>
  <c r="P2330" i="18"/>
  <c r="K2330" i="18"/>
  <c r="O2330" i="18" s="1"/>
  <c r="P2329" i="18"/>
  <c r="O2329" i="18"/>
  <c r="K2329" i="18"/>
  <c r="P2328" i="18"/>
  <c r="K2328" i="18"/>
  <c r="O2328" i="18" s="1"/>
  <c r="P2327" i="18"/>
  <c r="K2327" i="18"/>
  <c r="O2327" i="18" s="1"/>
  <c r="P2326" i="18"/>
  <c r="P2325" i="18"/>
  <c r="K2325" i="18"/>
  <c r="O2325" i="18" s="1"/>
  <c r="P2324" i="18"/>
  <c r="K2324" i="18"/>
  <c r="O2324" i="18" s="1"/>
  <c r="P2323" i="18"/>
  <c r="K2323" i="18"/>
  <c r="O2323" i="18" s="1"/>
  <c r="P2322" i="18"/>
  <c r="O2322" i="18"/>
  <c r="K2322" i="18"/>
  <c r="P2321" i="18"/>
  <c r="K2321" i="18"/>
  <c r="O2321" i="18" s="1"/>
  <c r="P2320" i="18"/>
  <c r="P2319" i="18"/>
  <c r="K2319" i="18"/>
  <c r="O2319" i="18" s="1"/>
  <c r="P2318" i="18"/>
  <c r="K2318" i="18"/>
  <c r="O2318" i="18" s="1"/>
  <c r="P2317" i="18"/>
  <c r="K2317" i="18"/>
  <c r="O2317" i="18" s="1"/>
  <c r="P2316" i="18"/>
  <c r="K2316" i="18"/>
  <c r="O2316" i="18" s="1"/>
  <c r="P2315" i="18"/>
  <c r="O2315" i="18"/>
  <c r="K2315" i="18"/>
  <c r="P2314" i="18"/>
  <c r="P2313" i="18"/>
  <c r="O2313" i="18"/>
  <c r="K2313" i="18"/>
  <c r="P2312" i="18"/>
  <c r="K2312" i="18"/>
  <c r="O2312" i="18" s="1"/>
  <c r="P2311" i="18"/>
  <c r="K2311" i="18"/>
  <c r="O2311" i="18" s="1"/>
  <c r="P2310" i="18"/>
  <c r="K2310" i="18"/>
  <c r="O2310" i="18" s="1"/>
  <c r="P2309" i="18"/>
  <c r="O2309" i="18"/>
  <c r="K2309" i="18"/>
  <c r="P2308" i="18"/>
  <c r="P2307" i="18"/>
  <c r="K2307" i="18"/>
  <c r="O2307" i="18" s="1"/>
  <c r="P2306" i="18"/>
  <c r="O2306" i="18"/>
  <c r="K2306" i="18"/>
  <c r="P2305" i="18"/>
  <c r="K2305" i="18"/>
  <c r="O2305" i="18" s="1"/>
  <c r="P2304" i="18"/>
  <c r="K2304" i="18"/>
  <c r="O2304" i="18" s="1"/>
  <c r="P2303" i="18"/>
  <c r="K2303" i="18"/>
  <c r="O2303" i="18" s="1"/>
  <c r="P2302" i="18"/>
  <c r="P2301" i="18"/>
  <c r="K2301" i="18"/>
  <c r="O2301" i="18" s="1"/>
  <c r="P2300" i="18"/>
  <c r="K2300" i="18"/>
  <c r="O2300" i="18" s="1"/>
  <c r="P2299" i="18"/>
  <c r="K2299" i="18"/>
  <c r="O2299" i="18" s="1"/>
  <c r="P2298" i="18"/>
  <c r="K2298" i="18"/>
  <c r="O2298" i="18" s="1"/>
  <c r="P2297" i="18"/>
  <c r="K2297" i="18"/>
  <c r="O2297" i="18" s="1"/>
  <c r="P2296" i="18"/>
  <c r="P2295" i="18"/>
  <c r="K2295" i="18"/>
  <c r="O2295" i="18" s="1"/>
  <c r="P2294" i="18"/>
  <c r="K2294" i="18"/>
  <c r="O2294" i="18" s="1"/>
  <c r="P2293" i="18"/>
  <c r="K2293" i="18"/>
  <c r="O2293" i="18" s="1"/>
  <c r="P2292" i="18"/>
  <c r="K2292" i="18"/>
  <c r="O2292" i="18" s="1"/>
  <c r="P2291" i="18"/>
  <c r="K2291" i="18"/>
  <c r="O2291" i="18" s="1"/>
  <c r="P2290" i="18"/>
  <c r="P2289" i="18"/>
  <c r="K2289" i="18"/>
  <c r="O2289" i="18" s="1"/>
  <c r="P2288" i="18"/>
  <c r="O2288" i="18"/>
  <c r="K2288" i="18"/>
  <c r="P2287" i="18"/>
  <c r="K2287" i="18"/>
  <c r="O2287" i="18" s="1"/>
  <c r="P2286" i="18"/>
  <c r="K2286" i="18"/>
  <c r="O2286" i="18" s="1"/>
  <c r="P2285" i="18"/>
  <c r="K2285" i="18"/>
  <c r="O2285" i="18" s="1"/>
  <c r="P2284" i="18"/>
  <c r="P2283" i="18"/>
  <c r="K2283" i="18"/>
  <c r="O2283" i="18" s="1"/>
  <c r="P2282" i="18"/>
  <c r="K2282" i="18"/>
  <c r="O2282" i="18" s="1"/>
  <c r="P2281" i="18"/>
  <c r="K2281" i="18"/>
  <c r="O2281" i="18" s="1"/>
  <c r="P2280" i="18"/>
  <c r="K2280" i="18"/>
  <c r="O2280" i="18" s="1"/>
  <c r="P2279" i="18"/>
  <c r="K2279" i="18"/>
  <c r="O2279" i="18" s="1"/>
  <c r="P2278" i="18"/>
  <c r="P2277" i="18"/>
  <c r="K2277" i="18"/>
  <c r="O2277" i="18" s="1"/>
  <c r="P2276" i="18"/>
  <c r="K2276" i="18"/>
  <c r="O2276" i="18" s="1"/>
  <c r="P2275" i="18"/>
  <c r="O2275" i="18"/>
  <c r="K2275" i="18"/>
  <c r="P2274" i="18"/>
  <c r="O2274" i="18"/>
  <c r="K2274" i="18"/>
  <c r="P2273" i="18"/>
  <c r="K2273" i="18"/>
  <c r="O2273" i="18" s="1"/>
  <c r="P2272" i="18"/>
  <c r="P2271" i="18"/>
  <c r="K2271" i="18"/>
  <c r="O2271" i="18" s="1"/>
  <c r="P2270" i="18"/>
  <c r="K2270" i="18"/>
  <c r="O2270" i="18" s="1"/>
  <c r="P2269" i="18"/>
  <c r="K2269" i="18"/>
  <c r="O2269" i="18" s="1"/>
  <c r="P2268" i="18"/>
  <c r="K2268" i="18"/>
  <c r="O2268" i="18" s="1"/>
  <c r="P2267" i="18"/>
  <c r="O2267" i="18"/>
  <c r="K2267" i="18"/>
  <c r="P2266" i="18"/>
  <c r="P2265" i="18"/>
  <c r="O2265" i="18"/>
  <c r="K2265" i="18"/>
  <c r="P2264" i="18"/>
  <c r="K2264" i="18"/>
  <c r="O2264" i="18" s="1"/>
  <c r="P2263" i="18"/>
  <c r="K2263" i="18"/>
  <c r="O2263" i="18" s="1"/>
  <c r="P2262" i="18"/>
  <c r="K2262" i="18"/>
  <c r="O2262" i="18" s="1"/>
  <c r="P2261" i="18"/>
  <c r="K2261" i="18"/>
  <c r="O2261" i="18" s="1"/>
  <c r="P2260" i="18"/>
  <c r="P2259" i="18"/>
  <c r="K2259" i="18"/>
  <c r="O2259" i="18" s="1"/>
  <c r="P2258" i="18"/>
  <c r="K2258" i="18"/>
  <c r="O2258" i="18" s="1"/>
  <c r="P2257" i="18"/>
  <c r="K2257" i="18"/>
  <c r="O2257" i="18" s="1"/>
  <c r="P2256" i="18"/>
  <c r="K2256" i="18"/>
  <c r="O2256" i="18" s="1"/>
  <c r="P2255" i="18"/>
  <c r="K2255" i="18"/>
  <c r="O2255" i="18" s="1"/>
  <c r="P2254" i="18"/>
  <c r="P2253" i="18"/>
  <c r="K2253" i="18"/>
  <c r="O2253" i="18" s="1"/>
  <c r="P2252" i="18"/>
  <c r="K2252" i="18"/>
  <c r="O2252" i="18" s="1"/>
  <c r="P2251" i="18"/>
  <c r="K2251" i="18"/>
  <c r="O2251" i="18" s="1"/>
  <c r="P2250" i="18"/>
  <c r="K2250" i="18"/>
  <c r="O2250" i="18" s="1"/>
  <c r="P2249" i="18"/>
  <c r="K2249" i="18"/>
  <c r="O2249" i="18" s="1"/>
  <c r="P2248" i="18"/>
  <c r="P2247" i="18"/>
  <c r="O2247" i="18"/>
  <c r="K2247" i="18"/>
  <c r="P2246" i="18"/>
  <c r="K2246" i="18"/>
  <c r="O2246" i="18" s="1"/>
  <c r="P2245" i="18"/>
  <c r="K2245" i="18"/>
  <c r="O2245" i="18" s="1"/>
  <c r="P2244" i="18"/>
  <c r="K2244" i="18"/>
  <c r="O2244" i="18" s="1"/>
  <c r="P2243" i="18"/>
  <c r="K2243" i="18"/>
  <c r="O2243" i="18" s="1"/>
  <c r="P2242" i="18"/>
  <c r="P2241" i="18"/>
  <c r="K2241" i="18"/>
  <c r="O2241" i="18" s="1"/>
  <c r="P2240" i="18"/>
  <c r="K2240" i="18"/>
  <c r="O2240" i="18" s="1"/>
  <c r="P2239" i="18"/>
  <c r="K2239" i="18"/>
  <c r="O2239" i="18" s="1"/>
  <c r="P2238" i="18"/>
  <c r="K2238" i="18"/>
  <c r="O2238" i="18" s="1"/>
  <c r="P2237" i="18"/>
  <c r="K2237" i="18"/>
  <c r="O2237" i="18" s="1"/>
  <c r="P2236" i="18"/>
  <c r="P2235" i="18"/>
  <c r="K2235" i="18"/>
  <c r="O2235" i="18" s="1"/>
  <c r="P2234" i="18"/>
  <c r="K2234" i="18"/>
  <c r="O2234" i="18" s="1"/>
  <c r="P2233" i="18"/>
  <c r="O2233" i="18"/>
  <c r="K2233" i="18"/>
  <c r="P2232" i="18"/>
  <c r="K2232" i="18"/>
  <c r="O2232" i="18" s="1"/>
  <c r="P2231" i="18"/>
  <c r="K2231" i="18"/>
  <c r="O2231" i="18" s="1"/>
  <c r="P2230" i="18"/>
  <c r="P2229" i="18"/>
  <c r="K2229" i="18"/>
  <c r="O2229" i="18" s="1"/>
  <c r="P2228" i="18"/>
  <c r="K2228" i="18"/>
  <c r="O2228" i="18" s="1"/>
  <c r="P2227" i="18"/>
  <c r="K2227" i="18"/>
  <c r="O2227" i="18" s="1"/>
  <c r="P2226" i="18"/>
  <c r="K2226" i="18"/>
  <c r="O2226" i="18" s="1"/>
  <c r="P2225" i="18"/>
  <c r="K2225" i="18"/>
  <c r="O2225" i="18" s="1"/>
  <c r="P2224" i="18"/>
  <c r="P2223" i="18"/>
  <c r="K2223" i="18"/>
  <c r="O2223" i="18" s="1"/>
  <c r="P2222" i="18"/>
  <c r="K2222" i="18"/>
  <c r="O2222" i="18" s="1"/>
  <c r="P2221" i="18"/>
  <c r="K2221" i="18"/>
  <c r="O2221" i="18" s="1"/>
  <c r="P2220" i="18"/>
  <c r="K2220" i="18"/>
  <c r="O2220" i="18" s="1"/>
  <c r="P2219" i="18"/>
  <c r="O2219" i="18"/>
  <c r="K2219" i="18"/>
  <c r="P2218" i="18"/>
  <c r="P2217" i="18"/>
  <c r="K2217" i="18"/>
  <c r="O2217" i="18" s="1"/>
  <c r="P2216" i="18"/>
  <c r="O2216" i="18"/>
  <c r="K2216" i="18"/>
  <c r="P2215" i="18"/>
  <c r="K2215" i="18"/>
  <c r="O2215" i="18" s="1"/>
  <c r="P2214" i="18"/>
  <c r="K2214" i="18"/>
  <c r="O2214" i="18" s="1"/>
  <c r="P2213" i="18"/>
  <c r="K2213" i="18"/>
  <c r="O2213" i="18" s="1"/>
  <c r="P2212" i="18"/>
  <c r="P2211" i="18"/>
  <c r="K2211" i="18"/>
  <c r="O2211" i="18" s="1"/>
  <c r="P2210" i="18"/>
  <c r="K2210" i="18"/>
  <c r="O2210" i="18" s="1"/>
  <c r="P2209" i="18"/>
  <c r="O2209" i="18"/>
  <c r="K2209" i="18"/>
  <c r="P2208" i="18"/>
  <c r="K2208" i="18"/>
  <c r="O2208" i="18" s="1"/>
  <c r="P2207" i="18"/>
  <c r="K2207" i="18"/>
  <c r="O2207" i="18" s="1"/>
  <c r="P2206" i="18"/>
  <c r="P2205" i="18"/>
  <c r="K2205" i="18"/>
  <c r="O2205" i="18" s="1"/>
  <c r="P2204" i="18"/>
  <c r="K2204" i="18"/>
  <c r="O2204" i="18" s="1"/>
  <c r="P2203" i="18"/>
  <c r="K2203" i="18"/>
  <c r="O2203" i="18" s="1"/>
  <c r="P2202" i="18"/>
  <c r="K2202" i="18"/>
  <c r="O2202" i="18" s="1"/>
  <c r="P2201" i="18"/>
  <c r="K2201" i="18"/>
  <c r="O2201" i="18" s="1"/>
  <c r="P2200" i="18"/>
  <c r="P2199" i="18"/>
  <c r="O2199" i="18"/>
  <c r="K2199" i="18"/>
  <c r="P2198" i="18"/>
  <c r="K2198" i="18"/>
  <c r="O2198" i="18" s="1"/>
  <c r="P2197" i="18"/>
  <c r="K2197" i="18"/>
  <c r="O2197" i="18" s="1"/>
  <c r="P2196" i="18"/>
  <c r="K2196" i="18"/>
  <c r="O2196" i="18" s="1"/>
  <c r="P2195" i="18"/>
  <c r="K2195" i="18"/>
  <c r="O2195" i="18" s="1"/>
  <c r="P2194" i="18"/>
  <c r="P2193" i="18"/>
  <c r="K2193" i="18"/>
  <c r="O2193" i="18" s="1"/>
  <c r="P2192" i="18"/>
  <c r="K2192" i="18"/>
  <c r="O2192" i="18" s="1"/>
  <c r="P2191" i="18"/>
  <c r="K2191" i="18"/>
  <c r="O2191" i="18" s="1"/>
  <c r="P2190" i="18"/>
  <c r="K2190" i="18"/>
  <c r="O2190" i="18" s="1"/>
  <c r="P2189" i="18"/>
  <c r="K2189" i="18"/>
  <c r="O2189" i="18" s="1"/>
  <c r="P2188" i="18"/>
  <c r="P2187" i="18"/>
  <c r="K2187" i="18"/>
  <c r="O2187" i="18" s="1"/>
  <c r="P2186" i="18"/>
  <c r="K2186" i="18"/>
  <c r="O2186" i="18" s="1"/>
  <c r="P2185" i="18"/>
  <c r="K2185" i="18"/>
  <c r="O2185" i="18" s="1"/>
  <c r="P2184" i="18"/>
  <c r="K2184" i="18"/>
  <c r="O2184" i="18" s="1"/>
  <c r="P2183" i="18"/>
  <c r="K2183" i="18"/>
  <c r="O2183" i="18" s="1"/>
  <c r="P2182" i="18"/>
  <c r="P2181" i="18"/>
  <c r="K2181" i="18"/>
  <c r="O2181" i="18" s="1"/>
  <c r="P2180" i="18"/>
  <c r="K2180" i="18"/>
  <c r="O2180" i="18" s="1"/>
  <c r="P2179" i="18"/>
  <c r="K2179" i="18"/>
  <c r="O2179" i="18" s="1"/>
  <c r="P2178" i="18"/>
  <c r="K2178" i="18"/>
  <c r="O2178" i="18" s="1"/>
  <c r="P2177" i="18"/>
  <c r="K2177" i="18"/>
  <c r="O2177" i="18" s="1"/>
  <c r="P2176" i="18"/>
  <c r="P2175" i="18"/>
  <c r="O2175" i="18"/>
  <c r="K2175" i="18"/>
  <c r="P2174" i="18"/>
  <c r="K2174" i="18"/>
  <c r="O2174" i="18" s="1"/>
  <c r="P2173" i="18"/>
  <c r="K2173" i="18"/>
  <c r="O2173" i="18" s="1"/>
  <c r="P2172" i="18"/>
  <c r="K2172" i="18"/>
  <c r="O2172" i="18" s="1"/>
  <c r="P2171" i="18"/>
  <c r="K2171" i="18"/>
  <c r="O2171" i="18" s="1"/>
  <c r="P2170" i="18"/>
  <c r="P2169" i="18"/>
  <c r="K2169" i="18"/>
  <c r="O2169" i="18" s="1"/>
  <c r="P2168" i="18"/>
  <c r="O2168" i="18"/>
  <c r="K2168" i="18"/>
  <c r="P2167" i="18"/>
  <c r="K2167" i="18"/>
  <c r="O2167" i="18" s="1"/>
  <c r="P2166" i="18"/>
  <c r="K2166" i="18"/>
  <c r="O2166" i="18" s="1"/>
  <c r="P2165" i="18"/>
  <c r="K2165" i="18"/>
  <c r="O2165" i="18" s="1"/>
  <c r="P2164" i="18"/>
  <c r="P2163" i="18"/>
  <c r="K2163" i="18"/>
  <c r="O2163" i="18" s="1"/>
  <c r="P2162" i="18"/>
  <c r="K2162" i="18"/>
  <c r="O2162" i="18" s="1"/>
  <c r="P2161" i="18"/>
  <c r="K2161" i="18"/>
  <c r="O2161" i="18" s="1"/>
  <c r="P2160" i="18"/>
  <c r="K2160" i="18"/>
  <c r="O2160" i="18" s="1"/>
  <c r="P2159" i="18"/>
  <c r="K2159" i="18"/>
  <c r="O2159" i="18" s="1"/>
  <c r="P2158" i="18"/>
  <c r="P2157" i="18"/>
  <c r="K2157" i="18"/>
  <c r="O2157" i="18" s="1"/>
  <c r="P2156" i="18"/>
  <c r="K2156" i="18"/>
  <c r="O2156" i="18" s="1"/>
  <c r="P2155" i="18"/>
  <c r="K2155" i="18"/>
  <c r="O2155" i="18" s="1"/>
  <c r="P2154" i="18"/>
  <c r="K2154" i="18"/>
  <c r="O2154" i="18" s="1"/>
  <c r="P2153" i="18"/>
  <c r="K2153" i="18"/>
  <c r="O2153" i="18" s="1"/>
  <c r="P2152" i="18"/>
  <c r="P2151" i="18"/>
  <c r="O2151" i="18"/>
  <c r="K2151" i="18"/>
  <c r="P2150" i="18"/>
  <c r="K2150" i="18"/>
  <c r="O2150" i="18" s="1"/>
  <c r="P2149" i="18"/>
  <c r="K2149" i="18"/>
  <c r="O2149" i="18" s="1"/>
  <c r="P2148" i="18"/>
  <c r="K2148" i="18"/>
  <c r="O2148" i="18" s="1"/>
  <c r="P2147" i="18"/>
  <c r="K2147" i="18"/>
  <c r="O2147" i="18" s="1"/>
  <c r="P2146" i="18"/>
  <c r="P2145" i="18"/>
  <c r="K2145" i="18"/>
  <c r="O2145" i="18" s="1"/>
  <c r="P2144" i="18"/>
  <c r="O2144" i="18"/>
  <c r="K2144" i="18"/>
  <c r="P2143" i="18"/>
  <c r="K2143" i="18"/>
  <c r="O2143" i="18" s="1"/>
  <c r="P2142" i="18"/>
  <c r="K2142" i="18"/>
  <c r="O2142" i="18" s="1"/>
  <c r="P2141" i="18"/>
  <c r="K2141" i="18"/>
  <c r="O2141" i="18" s="1"/>
  <c r="P2140" i="18"/>
  <c r="P2139" i="18"/>
  <c r="K2139" i="18"/>
  <c r="O2139" i="18" s="1"/>
  <c r="P2138" i="18"/>
  <c r="K2138" i="18"/>
  <c r="O2138" i="18" s="1"/>
  <c r="P2137" i="18"/>
  <c r="K2137" i="18"/>
  <c r="O2137" i="18" s="1"/>
  <c r="P2136" i="18"/>
  <c r="K2136" i="18"/>
  <c r="O2136" i="18" s="1"/>
  <c r="P2135" i="18"/>
  <c r="K2135" i="18"/>
  <c r="O2135" i="18" s="1"/>
  <c r="P2134" i="18"/>
  <c r="P2133" i="18"/>
  <c r="K2133" i="18"/>
  <c r="O2133" i="18" s="1"/>
  <c r="P2132" i="18"/>
  <c r="K2132" i="18"/>
  <c r="O2132" i="18" s="1"/>
  <c r="P2131" i="18"/>
  <c r="K2131" i="18"/>
  <c r="O2131" i="18" s="1"/>
  <c r="P2130" i="18"/>
  <c r="K2130" i="18"/>
  <c r="O2130" i="18" s="1"/>
  <c r="P2129" i="18"/>
  <c r="K2129" i="18"/>
  <c r="O2129" i="18" s="1"/>
  <c r="P2128" i="18"/>
  <c r="P2127" i="18"/>
  <c r="K2127" i="18"/>
  <c r="O2127" i="18" s="1"/>
  <c r="P2126" i="18"/>
  <c r="K2126" i="18"/>
  <c r="O2126" i="18" s="1"/>
  <c r="P2125" i="18"/>
  <c r="K2125" i="18"/>
  <c r="O2125" i="18" s="1"/>
  <c r="P2124" i="18"/>
  <c r="K2124" i="18"/>
  <c r="O2124" i="18" s="1"/>
  <c r="P2123" i="18"/>
  <c r="K2123" i="18"/>
  <c r="O2123" i="18" s="1"/>
  <c r="P2122" i="18"/>
  <c r="P2121" i="18"/>
  <c r="K2121" i="18"/>
  <c r="O2121" i="18" s="1"/>
  <c r="P2120" i="18"/>
  <c r="O2120" i="18"/>
  <c r="K2120" i="18"/>
  <c r="P2119" i="18"/>
  <c r="K2119" i="18"/>
  <c r="O2119" i="18" s="1"/>
  <c r="P2118" i="18"/>
  <c r="K2118" i="18"/>
  <c r="O2118" i="18" s="1"/>
  <c r="P2117" i="18"/>
  <c r="K2117" i="18"/>
  <c r="O2117" i="18" s="1"/>
  <c r="P2116" i="18"/>
  <c r="P2115" i="18"/>
  <c r="K2115" i="18"/>
  <c r="O2115" i="18" s="1"/>
  <c r="P2114" i="18"/>
  <c r="K2114" i="18"/>
  <c r="O2114" i="18" s="1"/>
  <c r="P2113" i="18"/>
  <c r="K2113" i="18"/>
  <c r="O2113" i="18" s="1"/>
  <c r="P2112" i="18"/>
  <c r="K2112" i="18"/>
  <c r="O2112" i="18" s="1"/>
  <c r="P2111" i="18"/>
  <c r="P2110" i="18"/>
  <c r="K2110" i="18"/>
  <c r="O2110" i="18" s="1"/>
  <c r="P2109" i="18"/>
  <c r="K2109" i="18"/>
  <c r="O2109" i="18" s="1"/>
  <c r="P2108" i="18"/>
  <c r="K2108" i="18"/>
  <c r="O2108" i="18" s="1"/>
  <c r="P2107" i="18"/>
  <c r="K2107" i="18"/>
  <c r="O2107" i="18" s="1"/>
  <c r="P2106" i="18"/>
  <c r="P2105" i="18"/>
  <c r="K2105" i="18"/>
  <c r="O2105" i="18" s="1"/>
  <c r="P2104" i="18"/>
  <c r="K2104" i="18"/>
  <c r="O2104" i="18" s="1"/>
  <c r="P2103" i="18"/>
  <c r="K2103" i="18"/>
  <c r="O2103" i="18" s="1"/>
  <c r="P2102" i="18"/>
  <c r="K2102" i="18"/>
  <c r="O2102" i="18" s="1"/>
  <c r="P2101" i="18"/>
  <c r="P2100" i="18"/>
  <c r="K2100" i="18"/>
  <c r="O2100" i="18" s="1"/>
  <c r="P2099" i="18"/>
  <c r="K2099" i="18"/>
  <c r="O2099" i="18" s="1"/>
  <c r="P2098" i="18"/>
  <c r="K2098" i="18"/>
  <c r="O2098" i="18" s="1"/>
  <c r="P2097" i="18"/>
  <c r="K2097" i="18"/>
  <c r="O2097" i="18" s="1"/>
  <c r="P2096" i="18"/>
  <c r="P2095" i="18"/>
  <c r="K2095" i="18"/>
  <c r="O2095" i="18" s="1"/>
  <c r="P2094" i="18"/>
  <c r="K2094" i="18"/>
  <c r="O2094" i="18" s="1"/>
  <c r="P2093" i="18"/>
  <c r="K2093" i="18"/>
  <c r="O2093" i="18" s="1"/>
  <c r="P2092" i="18"/>
  <c r="K2092" i="18"/>
  <c r="O2092" i="18" s="1"/>
  <c r="P2091" i="18"/>
  <c r="P2090" i="18"/>
  <c r="K2090" i="18"/>
  <c r="O2090" i="18" s="1"/>
  <c r="P2089" i="18"/>
  <c r="K2089" i="18"/>
  <c r="O2089" i="18" s="1"/>
  <c r="P2088" i="18"/>
  <c r="K2088" i="18"/>
  <c r="O2088" i="18" s="1"/>
  <c r="P2087" i="18"/>
  <c r="K2087" i="18"/>
  <c r="O2087" i="18" s="1"/>
  <c r="P2086" i="18"/>
  <c r="P2085" i="18"/>
  <c r="K2085" i="18"/>
  <c r="O2085" i="18" s="1"/>
  <c r="P2084" i="18"/>
  <c r="K2084" i="18"/>
  <c r="O2084" i="18" s="1"/>
  <c r="P2083" i="18"/>
  <c r="K2083" i="18"/>
  <c r="O2083" i="18" s="1"/>
  <c r="P2082" i="18"/>
  <c r="K2082" i="18"/>
  <c r="O2082" i="18" s="1"/>
  <c r="P2081" i="18"/>
  <c r="P2080" i="18"/>
  <c r="K2080" i="18"/>
  <c r="O2080" i="18" s="1"/>
  <c r="P2079" i="18"/>
  <c r="K2079" i="18"/>
  <c r="O2079" i="18" s="1"/>
  <c r="P2078" i="18"/>
  <c r="K2078" i="18"/>
  <c r="O2078" i="18" s="1"/>
  <c r="P2077" i="18"/>
  <c r="K2077" i="18"/>
  <c r="O2077" i="18" s="1"/>
  <c r="P2076" i="18"/>
  <c r="P2075" i="18"/>
  <c r="K2075" i="18"/>
  <c r="O2075" i="18" s="1"/>
  <c r="P2074" i="18"/>
  <c r="K2074" i="18"/>
  <c r="O2074" i="18" s="1"/>
  <c r="P2073" i="18"/>
  <c r="K2073" i="18"/>
  <c r="O2073" i="18" s="1"/>
  <c r="P2072" i="18"/>
  <c r="K2072" i="18"/>
  <c r="O2072" i="18" s="1"/>
  <c r="P2071" i="18"/>
  <c r="P2065" i="18"/>
  <c r="K2065" i="18"/>
  <c r="O2065" i="18" s="1"/>
  <c r="P2064" i="18"/>
  <c r="K2064" i="18"/>
  <c r="O2064" i="18" s="1"/>
  <c r="P2063" i="18"/>
  <c r="K2063" i="18"/>
  <c r="O2063" i="18" s="1"/>
  <c r="P2062" i="18"/>
  <c r="K2062" i="18"/>
  <c r="O2062" i="18" s="1"/>
  <c r="P2061" i="18"/>
  <c r="P2060" i="18"/>
  <c r="K2060" i="18"/>
  <c r="O2060" i="18" s="1"/>
  <c r="P2059" i="18"/>
  <c r="K2059" i="18"/>
  <c r="O2059" i="18" s="1"/>
  <c r="P2058" i="18"/>
  <c r="K2058" i="18"/>
  <c r="O2058" i="18" s="1"/>
  <c r="P2057" i="18"/>
  <c r="P2056" i="18"/>
  <c r="P2055" i="18"/>
  <c r="K2055" i="18"/>
  <c r="O2055" i="18" s="1"/>
  <c r="P2054" i="18"/>
  <c r="K2054" i="18"/>
  <c r="O2054" i="18" s="1"/>
  <c r="P2053" i="18"/>
  <c r="P2052" i="18"/>
  <c r="P2051" i="18"/>
  <c r="K2051" i="18"/>
  <c r="O2051" i="18" s="1"/>
  <c r="P2050" i="18"/>
  <c r="K2050" i="18"/>
  <c r="O2050" i="18" s="1"/>
  <c r="P2049" i="18"/>
  <c r="P2048" i="18"/>
  <c r="P2047" i="18"/>
  <c r="K2047" i="18"/>
  <c r="O2047" i="18" s="1"/>
  <c r="P2046" i="18"/>
  <c r="K2046" i="18"/>
  <c r="O2046" i="18" s="1"/>
  <c r="P2045" i="18"/>
  <c r="P2044" i="18"/>
  <c r="P2043" i="18"/>
  <c r="K2043" i="18"/>
  <c r="O2043" i="18" s="1"/>
  <c r="P2042" i="18"/>
  <c r="K2042" i="18"/>
  <c r="O2042" i="18" s="1"/>
  <c r="P2041" i="18"/>
  <c r="P2040" i="18"/>
  <c r="P2039" i="18"/>
  <c r="K2039" i="18"/>
  <c r="O2039" i="18" s="1"/>
  <c r="P2038" i="18"/>
  <c r="K2038" i="18"/>
  <c r="O2038" i="18" s="1"/>
  <c r="P2037" i="18"/>
  <c r="P2036" i="18"/>
  <c r="P2035" i="18"/>
  <c r="K2035" i="18"/>
  <c r="O2035" i="18" s="1"/>
  <c r="P2034" i="18"/>
  <c r="K2034" i="18"/>
  <c r="O2034" i="18" s="1"/>
  <c r="P2033" i="18"/>
  <c r="P2032" i="18"/>
  <c r="P2031" i="18"/>
  <c r="K2031" i="18"/>
  <c r="O2031" i="18" s="1"/>
  <c r="P2030" i="18"/>
  <c r="K2030" i="18"/>
  <c r="O2030" i="18" s="1"/>
  <c r="P2029" i="18"/>
  <c r="P2028" i="18"/>
  <c r="P2027" i="18"/>
  <c r="K2027" i="18"/>
  <c r="O2027" i="18" s="1"/>
  <c r="P2026" i="18"/>
  <c r="O2026" i="18"/>
  <c r="K2026" i="18"/>
  <c r="P2025" i="18"/>
  <c r="P2024" i="18"/>
  <c r="S2024" i="18" s="1"/>
  <c r="P2023" i="18"/>
  <c r="O2023" i="18"/>
  <c r="K2023" i="18"/>
  <c r="P2022" i="18"/>
  <c r="K2022" i="18"/>
  <c r="O2022" i="18" s="1"/>
  <c r="P2021" i="18"/>
  <c r="P2020" i="18"/>
  <c r="P2019" i="18"/>
  <c r="K2019" i="18"/>
  <c r="O2019" i="18" s="1"/>
  <c r="P2018" i="18"/>
  <c r="K2018" i="18"/>
  <c r="O2018" i="18" s="1"/>
  <c r="P2017" i="18"/>
  <c r="P2016" i="18"/>
  <c r="P2015" i="18"/>
  <c r="K2015" i="18"/>
  <c r="O2015" i="18" s="1"/>
  <c r="P2014" i="18"/>
  <c r="K2014" i="18"/>
  <c r="O2014" i="18" s="1"/>
  <c r="P2013" i="18"/>
  <c r="P2012" i="18"/>
  <c r="P2011" i="18"/>
  <c r="K2011" i="18"/>
  <c r="O2011" i="18" s="1"/>
  <c r="P2010" i="18"/>
  <c r="K2010" i="18"/>
  <c r="O2010" i="18" s="1"/>
  <c r="P2009" i="18"/>
  <c r="P2008" i="18"/>
  <c r="P2007" i="18"/>
  <c r="K2007" i="18"/>
  <c r="O2007" i="18" s="1"/>
  <c r="P2006" i="18"/>
  <c r="K2006" i="18"/>
  <c r="O2006" i="18" s="1"/>
  <c r="P2005" i="18"/>
  <c r="P2004" i="18"/>
  <c r="P2003" i="18"/>
  <c r="K2003" i="18"/>
  <c r="O2003" i="18" s="1"/>
  <c r="P2002" i="18"/>
  <c r="K2002" i="18"/>
  <c r="O2002" i="18" s="1"/>
  <c r="P2001" i="18"/>
  <c r="P2000" i="18"/>
  <c r="P1999" i="18"/>
  <c r="K1999" i="18"/>
  <c r="O1999" i="18" s="1"/>
  <c r="P1998" i="18"/>
  <c r="K1998" i="18"/>
  <c r="O1998" i="18" s="1"/>
  <c r="P1997" i="18"/>
  <c r="K1996" i="18"/>
  <c r="O1996" i="18" s="1"/>
  <c r="P1996" i="18"/>
  <c r="P1995" i="18"/>
  <c r="K1995" i="18"/>
  <c r="O1995" i="18" s="1"/>
  <c r="P1994" i="18"/>
  <c r="K1994" i="18"/>
  <c r="O1994" i="18" s="1"/>
  <c r="P1993" i="18"/>
  <c r="P1992" i="18"/>
  <c r="P1991" i="18"/>
  <c r="O1991" i="18"/>
  <c r="K1991" i="18"/>
  <c r="P1990" i="18"/>
  <c r="K1990" i="18"/>
  <c r="O1990" i="18" s="1"/>
  <c r="K1988" i="18"/>
  <c r="O1988" i="18" s="1"/>
  <c r="P1989" i="18"/>
  <c r="P1988" i="18"/>
  <c r="P1987" i="18"/>
  <c r="K1987" i="18"/>
  <c r="O1987" i="18" s="1"/>
  <c r="P1986" i="18"/>
  <c r="K1986" i="18"/>
  <c r="O1986" i="18" s="1"/>
  <c r="P1985" i="18"/>
  <c r="P1984" i="18"/>
  <c r="P1983" i="18"/>
  <c r="K1983" i="18"/>
  <c r="O1983" i="18" s="1"/>
  <c r="P1982" i="18"/>
  <c r="K1982" i="18"/>
  <c r="O1982" i="18" s="1"/>
  <c r="P1981" i="18"/>
  <c r="K1980" i="18"/>
  <c r="O1980" i="18" s="1"/>
  <c r="P1980" i="18"/>
  <c r="P1979" i="18"/>
  <c r="K1979" i="18"/>
  <c r="O1979" i="18" s="1"/>
  <c r="P1978" i="18"/>
  <c r="K1978" i="18"/>
  <c r="O1978" i="18" s="1"/>
  <c r="P1977" i="18"/>
  <c r="P1976" i="18"/>
  <c r="P1975" i="18"/>
  <c r="K1975" i="18"/>
  <c r="O1975" i="18" s="1"/>
  <c r="P1974" i="18"/>
  <c r="K1974" i="18"/>
  <c r="O1974" i="18" s="1"/>
  <c r="P1973" i="18"/>
  <c r="P1972" i="18"/>
  <c r="P1971" i="18"/>
  <c r="K1971" i="18"/>
  <c r="O1971" i="18" s="1"/>
  <c r="P1970" i="18"/>
  <c r="K1970" i="18"/>
  <c r="O1970" i="18" s="1"/>
  <c r="P1969" i="18"/>
  <c r="P1968" i="18"/>
  <c r="P1967" i="18"/>
  <c r="K1967" i="18"/>
  <c r="O1967" i="18" s="1"/>
  <c r="P1966" i="18"/>
  <c r="K1966" i="18"/>
  <c r="O1966" i="18" s="1"/>
  <c r="P1965" i="18"/>
  <c r="P1964" i="18"/>
  <c r="P1963" i="18"/>
  <c r="K1963" i="18"/>
  <c r="O1963" i="18" s="1"/>
  <c r="P1962" i="18"/>
  <c r="K1962" i="18"/>
  <c r="O1962" i="18" s="1"/>
  <c r="P1961" i="18"/>
  <c r="P1960" i="18"/>
  <c r="P1959" i="18"/>
  <c r="K1959" i="18"/>
  <c r="O1959" i="18" s="1"/>
  <c r="P1958" i="18"/>
  <c r="K1958" i="18"/>
  <c r="O1958" i="18" s="1"/>
  <c r="K1956" i="18"/>
  <c r="O1956" i="18" s="1"/>
  <c r="P1957" i="18"/>
  <c r="P1956" i="18"/>
  <c r="P1955" i="18"/>
  <c r="K1955" i="18"/>
  <c r="O1955" i="18" s="1"/>
  <c r="P1954" i="18"/>
  <c r="K1954" i="18"/>
  <c r="O1954" i="18" s="1"/>
  <c r="P1953" i="18"/>
  <c r="P1952" i="18"/>
  <c r="P1951" i="18"/>
  <c r="K1951" i="18"/>
  <c r="O1951" i="18" s="1"/>
  <c r="P1950" i="18"/>
  <c r="K1950" i="18"/>
  <c r="O1950" i="18" s="1"/>
  <c r="P1949" i="18"/>
  <c r="P1948" i="18"/>
  <c r="P1947" i="18"/>
  <c r="K1947" i="18"/>
  <c r="O1947" i="18" s="1"/>
  <c r="P1946" i="18"/>
  <c r="K1946" i="18"/>
  <c r="O1946" i="18" s="1"/>
  <c r="P1945" i="18"/>
  <c r="P1944" i="18"/>
  <c r="P1943" i="18"/>
  <c r="K1943" i="18"/>
  <c r="O1943" i="18" s="1"/>
  <c r="P1942" i="18"/>
  <c r="K1942" i="18"/>
  <c r="O1942" i="18" s="1"/>
  <c r="P1941" i="18"/>
  <c r="P1940" i="18"/>
  <c r="P1939" i="18"/>
  <c r="P1938" i="18"/>
  <c r="P1937" i="18"/>
  <c r="P1936" i="18"/>
  <c r="P1935" i="18"/>
  <c r="P1934" i="18"/>
  <c r="P1933" i="18"/>
  <c r="P1932" i="18"/>
  <c r="P1931" i="18"/>
  <c r="P1930" i="18"/>
  <c r="P1929" i="18"/>
  <c r="P1928" i="18"/>
  <c r="S1928" i="18" s="1"/>
  <c r="P1927" i="18"/>
  <c r="S1927" i="18" s="1"/>
  <c r="P1926" i="18"/>
  <c r="P1925" i="18"/>
  <c r="P1924" i="18"/>
  <c r="S1924" i="18" s="1"/>
  <c r="P1923" i="18"/>
  <c r="P1922" i="18"/>
  <c r="P1921" i="18"/>
  <c r="P1920" i="18"/>
  <c r="S1920" i="18" s="1"/>
  <c r="P1919" i="18"/>
  <c r="P1918" i="18"/>
  <c r="P1917" i="18"/>
  <c r="P1916" i="18"/>
  <c r="S1916" i="18" s="1"/>
  <c r="P1915" i="18"/>
  <c r="P1914" i="18"/>
  <c r="P1913" i="18"/>
  <c r="P1912" i="18"/>
  <c r="S1912" i="18" s="1"/>
  <c r="P1871" i="18"/>
  <c r="O1871" i="18"/>
  <c r="P1870" i="18"/>
  <c r="P1869" i="18"/>
  <c r="P1868" i="18"/>
  <c r="S1868" i="18" s="1"/>
  <c r="P1867" i="18"/>
  <c r="P1866" i="18"/>
  <c r="P1865" i="18"/>
  <c r="P1864" i="18"/>
  <c r="S1864" i="18" s="1"/>
  <c r="P1863" i="18"/>
  <c r="P1862" i="18"/>
  <c r="P1861" i="18"/>
  <c r="P1860" i="18"/>
  <c r="S1860" i="18" s="1"/>
  <c r="P1859" i="18"/>
  <c r="P1858" i="18"/>
  <c r="P1857" i="18"/>
  <c r="P1856" i="18"/>
  <c r="S1856" i="18" s="1"/>
  <c r="P1855" i="18"/>
  <c r="P1854" i="18"/>
  <c r="P1853" i="18"/>
  <c r="P1852" i="18"/>
  <c r="S1852" i="18" s="1"/>
  <c r="P1851" i="18"/>
  <c r="P1850" i="18"/>
  <c r="P1849" i="18"/>
  <c r="P1848" i="18"/>
  <c r="S1848" i="18" s="1"/>
  <c r="P1847" i="18"/>
  <c r="P1846" i="18"/>
  <c r="P1845" i="18"/>
  <c r="P1844" i="18"/>
  <c r="S1844" i="18" s="1"/>
  <c r="P1843" i="18"/>
  <c r="P1842" i="18"/>
  <c r="P1841" i="18"/>
  <c r="P1840" i="18"/>
  <c r="S1840" i="18" s="1"/>
  <c r="P1839" i="18"/>
  <c r="P1838" i="18"/>
  <c r="P1837" i="18"/>
  <c r="P1836" i="18"/>
  <c r="S1836" i="18" s="1"/>
  <c r="P1835" i="18"/>
  <c r="P1834" i="18"/>
  <c r="P1833" i="18"/>
  <c r="P1832" i="18"/>
  <c r="S1832" i="18" s="1"/>
  <c r="P1831" i="18"/>
  <c r="P1830" i="18"/>
  <c r="P1829" i="18"/>
  <c r="P1828" i="18"/>
  <c r="S1828" i="18" s="1"/>
  <c r="P1827" i="18"/>
  <c r="P1826" i="18"/>
  <c r="P1825" i="18"/>
  <c r="P1824" i="18"/>
  <c r="S1824" i="18" s="1"/>
  <c r="P1823" i="18"/>
  <c r="P1822" i="18"/>
  <c r="P1821" i="18"/>
  <c r="P1820" i="18"/>
  <c r="S1820" i="18" s="1"/>
  <c r="P1819" i="18"/>
  <c r="P1818" i="18"/>
  <c r="P1817" i="18"/>
  <c r="P1816" i="18"/>
  <c r="S1816" i="18" s="1"/>
  <c r="P1815" i="18"/>
  <c r="P1814" i="18"/>
  <c r="P1813" i="18"/>
  <c r="P1812" i="18"/>
  <c r="S1812" i="18" s="1"/>
  <c r="P1811" i="18"/>
  <c r="P1810" i="18"/>
  <c r="P1809" i="18"/>
  <c r="P1808" i="18"/>
  <c r="P1807" i="18"/>
  <c r="S1807" i="18" s="1"/>
  <c r="P1806" i="18"/>
  <c r="P1805" i="18"/>
  <c r="P1804" i="18"/>
  <c r="P1803" i="18"/>
  <c r="S1803" i="18" s="1"/>
  <c r="P1802" i="18"/>
  <c r="K1802" i="18"/>
  <c r="O1802" i="18" s="1"/>
  <c r="P1801" i="18"/>
  <c r="P1800" i="18"/>
  <c r="K1800" i="18"/>
  <c r="O1800" i="18" s="1"/>
  <c r="K1799" i="18"/>
  <c r="O1799" i="18" s="1"/>
  <c r="P1799" i="18"/>
  <c r="S1799" i="18" s="1"/>
  <c r="P1798" i="18"/>
  <c r="P1797" i="18"/>
  <c r="K1797" i="18"/>
  <c r="O1797" i="18" s="1"/>
  <c r="P1796" i="18"/>
  <c r="K1796" i="18"/>
  <c r="O1796" i="18" s="1"/>
  <c r="P1795" i="18"/>
  <c r="S1795" i="18" s="1"/>
  <c r="P1794" i="18"/>
  <c r="P1793" i="18"/>
  <c r="P1788" i="18"/>
  <c r="P1787" i="18"/>
  <c r="S1787" i="18" s="1"/>
  <c r="P1786" i="18"/>
  <c r="P1785" i="18"/>
  <c r="P1784" i="18"/>
  <c r="K1784" i="18"/>
  <c r="O1784" i="18" s="1"/>
  <c r="P1783" i="18"/>
  <c r="P1782" i="18"/>
  <c r="K1782" i="18"/>
  <c r="O1782" i="18" s="1"/>
  <c r="P1781" i="18"/>
  <c r="P1780" i="18"/>
  <c r="S1780" i="18" s="1"/>
  <c r="P1779" i="18"/>
  <c r="P1778" i="18"/>
  <c r="P1777" i="18"/>
  <c r="S1777" i="18" s="1"/>
  <c r="P1776" i="18"/>
  <c r="P1775" i="18"/>
  <c r="P1772" i="18"/>
  <c r="S1772" i="18" s="1"/>
  <c r="P1771" i="18"/>
  <c r="S1771" i="18" s="1"/>
  <c r="P1770" i="18"/>
  <c r="K1770" i="18"/>
  <c r="O1770" i="18" s="1"/>
  <c r="P1769" i="18"/>
  <c r="P1768" i="18"/>
  <c r="P1767" i="18"/>
  <c r="P1766" i="18"/>
  <c r="P1765" i="18"/>
  <c r="P1764" i="18"/>
  <c r="K1764" i="18"/>
  <c r="O1764" i="18" s="1"/>
  <c r="P1763" i="18"/>
  <c r="K1763" i="18"/>
  <c r="O1763" i="18" s="1"/>
  <c r="P1762" i="18"/>
  <c r="P1761" i="18"/>
  <c r="P1760" i="18"/>
  <c r="K1760" i="18"/>
  <c r="O1760" i="18" s="1"/>
  <c r="P1759" i="18"/>
  <c r="P1758" i="18"/>
  <c r="P1757" i="18"/>
  <c r="P1756" i="18"/>
  <c r="P1755" i="18"/>
  <c r="P1754" i="18"/>
  <c r="P1753" i="18"/>
  <c r="P1752" i="18"/>
  <c r="O1752" i="18"/>
  <c r="K1752" i="18"/>
  <c r="P1751" i="18"/>
  <c r="K1751" i="18"/>
  <c r="O1751" i="18" s="1"/>
  <c r="P1750" i="18"/>
  <c r="P1749" i="18"/>
  <c r="P1748" i="18"/>
  <c r="S1748" i="18" s="1"/>
  <c r="P1747" i="18"/>
  <c r="S1747" i="18" s="1"/>
  <c r="P1746" i="18"/>
  <c r="S1746" i="18" s="1"/>
  <c r="P1745" i="18"/>
  <c r="S1745" i="18" s="1"/>
  <c r="P1744" i="18"/>
  <c r="S1744" i="18" s="1"/>
  <c r="P1743" i="18"/>
  <c r="S1743" i="18" s="1"/>
  <c r="P1742" i="18"/>
  <c r="S1742" i="18" s="1"/>
  <c r="P1741" i="18"/>
  <c r="S1741" i="18" s="1"/>
  <c r="P1740" i="18"/>
  <c r="S1740" i="18" s="1"/>
  <c r="P1739" i="18"/>
  <c r="S1739" i="18" s="1"/>
  <c r="P1738" i="18"/>
  <c r="S1738" i="18" s="1"/>
  <c r="P1737" i="18"/>
  <c r="S1737" i="18" s="1"/>
  <c r="P1736" i="18"/>
  <c r="S1736" i="18" s="1"/>
  <c r="P1735" i="18"/>
  <c r="S1735" i="18" s="1"/>
  <c r="P1734" i="18"/>
  <c r="S1734" i="18" s="1"/>
  <c r="P1732" i="18"/>
  <c r="S1732" i="18" s="1"/>
  <c r="O1732" i="18"/>
  <c r="K1732" i="18"/>
  <c r="P1731" i="18"/>
  <c r="S1731" i="18" s="1"/>
  <c r="O1731" i="18"/>
  <c r="K1731" i="18"/>
  <c r="P1730" i="18"/>
  <c r="S1730" i="18" s="1"/>
  <c r="O1730" i="18"/>
  <c r="K1730" i="18"/>
  <c r="P1729" i="18"/>
  <c r="S1729" i="18" s="1"/>
  <c r="O1729" i="18"/>
  <c r="K1729" i="18"/>
  <c r="P1728" i="18"/>
  <c r="S1728" i="18" s="1"/>
  <c r="O1728" i="18"/>
  <c r="K1728" i="18"/>
  <c r="P1727" i="18"/>
  <c r="S1727" i="18" s="1"/>
  <c r="O1727" i="18"/>
  <c r="K1727" i="18"/>
  <c r="P1726" i="18"/>
  <c r="S1726" i="18" s="1"/>
  <c r="O1726" i="18"/>
  <c r="K1726" i="18"/>
  <c r="P1725" i="18"/>
  <c r="S1725" i="18" s="1"/>
  <c r="O1725" i="18"/>
  <c r="K1725" i="18"/>
  <c r="P1724" i="18"/>
  <c r="S1724" i="18" s="1"/>
  <c r="O1724" i="18"/>
  <c r="K1724" i="18"/>
  <c r="P1723" i="18"/>
  <c r="S1723" i="18" s="1"/>
  <c r="O1723" i="18"/>
  <c r="K1723" i="18"/>
  <c r="P1722" i="18"/>
  <c r="S1722" i="18" s="1"/>
  <c r="O1722" i="18"/>
  <c r="K1722" i="18"/>
  <c r="P1721" i="18"/>
  <c r="S1721" i="18" s="1"/>
  <c r="O1721" i="18"/>
  <c r="K1721" i="18"/>
  <c r="P1720" i="18"/>
  <c r="S1720" i="18" s="1"/>
  <c r="O1720" i="18"/>
  <c r="K1720" i="18"/>
  <c r="P1719" i="18"/>
  <c r="S1719" i="18" s="1"/>
  <c r="O1719" i="18"/>
  <c r="K1719" i="18"/>
  <c r="P1718" i="18"/>
  <c r="S1718" i="18" s="1"/>
  <c r="O1718" i="18"/>
  <c r="K1718" i="18"/>
  <c r="P1717" i="18"/>
  <c r="S1717" i="18" s="1"/>
  <c r="O1717" i="18"/>
  <c r="K1717" i="18"/>
  <c r="P1716" i="18"/>
  <c r="S1716" i="18" s="1"/>
  <c r="O1716" i="18"/>
  <c r="K1716" i="18"/>
  <c r="P1715" i="18"/>
  <c r="S1715" i="18" s="1"/>
  <c r="O1715" i="18"/>
  <c r="K1715" i="18"/>
  <c r="P1714" i="18"/>
  <c r="S1714" i="18" s="1"/>
  <c r="O1714" i="18"/>
  <c r="K1714" i="18"/>
  <c r="P1713" i="18"/>
  <c r="S1713" i="18" s="1"/>
  <c r="O1713" i="18"/>
  <c r="K1713" i="18"/>
  <c r="P1712" i="18"/>
  <c r="S1712" i="18" s="1"/>
  <c r="O1712" i="18"/>
  <c r="K1712" i="18"/>
  <c r="P1711" i="18"/>
  <c r="S1711" i="18" s="1"/>
  <c r="O1711" i="18"/>
  <c r="K1711" i="18"/>
  <c r="P1710" i="18"/>
  <c r="S1710" i="18" s="1"/>
  <c r="O1710" i="18"/>
  <c r="K1710" i="18"/>
  <c r="P1709" i="18"/>
  <c r="S1709" i="18" s="1"/>
  <c r="O1709" i="18"/>
  <c r="K1709" i="18"/>
  <c r="P1708" i="18"/>
  <c r="S1708" i="18" s="1"/>
  <c r="O1708" i="18"/>
  <c r="K1708" i="18"/>
  <c r="P1707" i="18"/>
  <c r="S1707" i="18" s="1"/>
  <c r="O1707" i="18"/>
  <c r="K1707" i="18"/>
  <c r="P1706" i="18"/>
  <c r="S1706" i="18" s="1"/>
  <c r="O1706" i="18"/>
  <c r="K1706" i="18"/>
  <c r="P1705" i="18"/>
  <c r="S1705" i="18" s="1"/>
  <c r="O1705" i="18"/>
  <c r="K1705" i="18"/>
  <c r="P1704" i="18"/>
  <c r="S1704" i="18" s="1"/>
  <c r="O1704" i="18"/>
  <c r="K1704" i="18"/>
  <c r="P1703" i="18"/>
  <c r="S1703" i="18" s="1"/>
  <c r="O1703" i="18"/>
  <c r="K1703" i="18"/>
  <c r="P1702" i="18"/>
  <c r="S1702" i="18" s="1"/>
  <c r="O1702" i="18"/>
  <c r="K1702" i="18"/>
  <c r="P1701" i="18"/>
  <c r="S1701" i="18" s="1"/>
  <c r="O1701" i="18"/>
  <c r="K1701" i="18"/>
  <c r="P1699" i="18"/>
  <c r="S1699" i="18" s="1"/>
  <c r="P1698" i="18"/>
  <c r="S1698" i="18" s="1"/>
  <c r="P1697" i="18"/>
  <c r="S1697" i="18" s="1"/>
  <c r="P1696" i="18"/>
  <c r="S1696" i="18" s="1"/>
  <c r="P1695" i="18"/>
  <c r="S1695" i="18" s="1"/>
  <c r="P1694" i="18"/>
  <c r="S1694" i="18" s="1"/>
  <c r="P1693" i="18"/>
  <c r="S1693" i="18" s="1"/>
  <c r="P1692" i="18"/>
  <c r="S1692" i="18" s="1"/>
  <c r="P1691" i="18"/>
  <c r="S1691" i="18" s="1"/>
  <c r="P1690" i="18"/>
  <c r="S1690" i="18" s="1"/>
  <c r="P1689" i="18"/>
  <c r="S1689" i="18" s="1"/>
  <c r="P1688" i="18"/>
  <c r="S1688" i="18" s="1"/>
  <c r="P1687" i="18"/>
  <c r="S1687" i="18" s="1"/>
  <c r="P1686" i="18"/>
  <c r="S1686" i="18" s="1"/>
  <c r="P1685" i="18"/>
  <c r="S1685" i="18" s="1"/>
  <c r="P1684" i="18"/>
  <c r="S1684" i="18" s="1"/>
  <c r="P1683" i="18"/>
  <c r="S1683" i="18" s="1"/>
  <c r="P1677" i="18"/>
  <c r="S1677" i="18" s="1"/>
  <c r="P1676" i="18"/>
  <c r="S1676" i="18" s="1"/>
  <c r="P1675" i="18"/>
  <c r="S1675" i="18" s="1"/>
  <c r="P1674" i="18"/>
  <c r="P1673" i="18"/>
  <c r="P1672" i="18"/>
  <c r="P1671" i="18"/>
  <c r="P1670" i="18"/>
  <c r="P1669" i="18"/>
  <c r="P1668" i="18"/>
  <c r="P1667" i="18"/>
  <c r="P1666" i="18"/>
  <c r="P1665" i="18"/>
  <c r="P1664" i="18"/>
  <c r="P1663" i="18"/>
  <c r="P1662" i="18"/>
  <c r="P1661" i="18"/>
  <c r="P1660" i="18"/>
  <c r="P1659" i="18"/>
  <c r="P1658" i="18"/>
  <c r="P1657" i="18"/>
  <c r="O1657" i="18"/>
  <c r="P1656" i="18"/>
  <c r="O1656" i="18"/>
  <c r="P1655" i="18"/>
  <c r="P1644" i="18"/>
  <c r="S1644" i="18" s="1"/>
  <c r="P1643" i="18"/>
  <c r="S1643" i="18" s="1"/>
  <c r="P1642" i="18"/>
  <c r="S1642" i="18" s="1"/>
  <c r="P1641" i="18"/>
  <c r="S1641" i="18" s="1"/>
  <c r="P1640" i="18"/>
  <c r="S1640" i="18" s="1"/>
  <c r="P1639" i="18"/>
  <c r="S1639" i="18" s="1"/>
  <c r="P1637" i="18"/>
  <c r="S1637" i="18" s="1"/>
  <c r="O1637" i="18"/>
  <c r="K1637" i="18"/>
  <c r="P1636" i="18"/>
  <c r="S1636" i="18" s="1"/>
  <c r="O1636" i="18"/>
  <c r="K1636" i="18"/>
  <c r="P1635" i="18"/>
  <c r="S1635" i="18" s="1"/>
  <c r="O1635" i="18"/>
  <c r="K1635" i="18"/>
  <c r="P1634" i="18"/>
  <c r="S1634" i="18" s="1"/>
  <c r="O1634" i="18"/>
  <c r="K1634" i="18"/>
  <c r="P1633" i="18"/>
  <c r="S1633" i="18" s="1"/>
  <c r="O1633" i="18"/>
  <c r="K1633" i="18"/>
  <c r="P1632" i="18"/>
  <c r="S1632" i="18" s="1"/>
  <c r="O1632" i="18"/>
  <c r="K1632" i="18"/>
  <c r="P1631" i="18"/>
  <c r="S1631" i="18" s="1"/>
  <c r="O1631" i="18"/>
  <c r="K1631" i="18"/>
  <c r="P1630" i="18"/>
  <c r="S1630" i="18" s="1"/>
  <c r="O1630" i="18"/>
  <c r="K1630" i="18"/>
  <c r="P1629" i="18"/>
  <c r="S1629" i="18" s="1"/>
  <c r="O1629" i="18"/>
  <c r="K1629" i="18"/>
  <c r="P1628" i="18"/>
  <c r="S1628" i="18" s="1"/>
  <c r="O1628" i="18"/>
  <c r="K1628" i="18"/>
  <c r="P1627" i="18"/>
  <c r="S1627" i="18" s="1"/>
  <c r="O1627" i="18"/>
  <c r="K1627" i="18"/>
  <c r="P1626" i="18"/>
  <c r="S1626" i="18" s="1"/>
  <c r="O1626" i="18"/>
  <c r="K1626" i="18"/>
  <c r="P1625" i="18"/>
  <c r="S1625" i="18" s="1"/>
  <c r="O1625" i="18"/>
  <c r="K1625" i="18"/>
  <c r="P1624" i="18"/>
  <c r="S1624" i="18" s="1"/>
  <c r="O1624" i="18"/>
  <c r="K1624" i="18"/>
  <c r="P1623" i="18"/>
  <c r="S1623" i="18" s="1"/>
  <c r="O1623" i="18"/>
  <c r="K1623" i="18"/>
  <c r="P1622" i="18"/>
  <c r="S1622" i="18" s="1"/>
  <c r="O1622" i="18"/>
  <c r="K1622" i="18"/>
  <c r="P1621" i="18"/>
  <c r="S1621" i="18" s="1"/>
  <c r="O1621" i="18"/>
  <c r="K1621" i="18"/>
  <c r="P1620" i="18"/>
  <c r="S1620" i="18" s="1"/>
  <c r="O1620" i="18"/>
  <c r="K1620" i="18"/>
  <c r="P1619" i="18"/>
  <c r="S1619" i="18" s="1"/>
  <c r="O1619" i="18"/>
  <c r="K1619" i="18"/>
  <c r="P1618" i="18"/>
  <c r="S1618" i="18" s="1"/>
  <c r="O1618" i="18"/>
  <c r="K1618" i="18"/>
  <c r="P1617" i="18"/>
  <c r="S1617" i="18" s="1"/>
  <c r="O1617" i="18"/>
  <c r="K1617" i="18"/>
  <c r="P1616" i="18"/>
  <c r="S1616" i="18" s="1"/>
  <c r="O1616" i="18"/>
  <c r="K1616" i="18"/>
  <c r="P1615" i="18"/>
  <c r="S1615" i="18" s="1"/>
  <c r="O1615" i="18"/>
  <c r="K1615" i="18"/>
  <c r="P1614" i="18"/>
  <c r="S1614" i="18" s="1"/>
  <c r="O1614" i="18"/>
  <c r="K1614" i="18"/>
  <c r="P1613" i="18"/>
  <c r="S1613" i="18" s="1"/>
  <c r="O1613" i="18"/>
  <c r="K1613" i="18"/>
  <c r="P1612" i="18"/>
  <c r="S1612" i="18" s="1"/>
  <c r="O1612" i="18"/>
  <c r="K1612" i="18"/>
  <c r="P1611" i="18"/>
  <c r="S1611" i="18" s="1"/>
  <c r="O1611" i="18"/>
  <c r="K1611" i="18"/>
  <c r="P1610" i="18"/>
  <c r="S1610" i="18" s="1"/>
  <c r="O1610" i="18"/>
  <c r="K1610" i="18"/>
  <c r="P1609" i="18"/>
  <c r="S1609" i="18" s="1"/>
  <c r="O1609" i="18"/>
  <c r="K1609" i="18"/>
  <c r="P1608" i="18"/>
  <c r="S1608" i="18" s="1"/>
  <c r="O1608" i="18"/>
  <c r="K1608" i="18"/>
  <c r="P1607" i="18"/>
  <c r="S1607" i="18" s="1"/>
  <c r="O1607" i="18"/>
  <c r="K1607" i="18"/>
  <c r="P1606" i="18"/>
  <c r="S1606" i="18" s="1"/>
  <c r="O1606" i="18"/>
  <c r="K1606" i="18"/>
  <c r="P1326" i="18"/>
  <c r="S1326" i="18" s="1"/>
  <c r="P1325" i="18"/>
  <c r="S1325" i="18" s="1"/>
  <c r="P1324" i="18"/>
  <c r="S1324" i="18" s="1"/>
  <c r="P1323" i="18"/>
  <c r="S1323" i="18" s="1"/>
  <c r="P1322" i="18"/>
  <c r="S1322" i="18" s="1"/>
  <c r="P1321" i="18"/>
  <c r="S1321" i="18" s="1"/>
  <c r="P1320" i="18"/>
  <c r="S1320" i="18" s="1"/>
  <c r="P1319" i="18"/>
  <c r="S1319" i="18" s="1"/>
  <c r="P1318" i="18"/>
  <c r="S1318" i="18" s="1"/>
  <c r="P1317" i="18"/>
  <c r="S1317" i="18" s="1"/>
  <c r="P1316" i="18"/>
  <c r="S1316" i="18" s="1"/>
  <c r="P1315" i="18"/>
  <c r="S1315" i="18" s="1"/>
  <c r="P1314" i="18"/>
  <c r="S1314" i="18" s="1"/>
  <c r="P1313" i="18"/>
  <c r="S1313" i="18" s="1"/>
  <c r="P1312" i="18"/>
  <c r="S1312" i="18" s="1"/>
  <c r="P1311" i="18"/>
  <c r="S1311" i="18" s="1"/>
  <c r="P1310" i="18"/>
  <c r="S1310" i="18" s="1"/>
  <c r="P1309" i="18"/>
  <c r="S1309" i="18" s="1"/>
  <c r="P1308" i="18"/>
  <c r="S1308" i="18" s="1"/>
  <c r="P1307" i="18"/>
  <c r="S1307" i="18" s="1"/>
  <c r="P1306" i="18"/>
  <c r="S1306" i="18" s="1"/>
  <c r="P1305" i="18"/>
  <c r="S1305" i="18" s="1"/>
  <c r="P1304" i="18"/>
  <c r="S1304" i="18" s="1"/>
  <c r="P1303" i="18"/>
  <c r="S1303" i="18" s="1"/>
  <c r="P965" i="18"/>
  <c r="S965" i="18" s="1"/>
  <c r="P964" i="18"/>
  <c r="S964" i="18" s="1"/>
  <c r="P963" i="18"/>
  <c r="S963" i="18" s="1"/>
  <c r="P962" i="18"/>
  <c r="S962" i="18" s="1"/>
  <c r="P961" i="18"/>
  <c r="S961" i="18" s="1"/>
  <c r="P960" i="18"/>
  <c r="S960" i="18" s="1"/>
  <c r="P959" i="18"/>
  <c r="S959" i="18" s="1"/>
  <c r="P958" i="18"/>
  <c r="S958" i="18" s="1"/>
  <c r="P957" i="18"/>
  <c r="S957" i="18" s="1"/>
  <c r="P956" i="18"/>
  <c r="S956" i="18" s="1"/>
  <c r="P955" i="18"/>
  <c r="S955" i="18" s="1"/>
  <c r="P954" i="18"/>
  <c r="S954" i="18" s="1"/>
  <c r="P953" i="18"/>
  <c r="S953" i="18" s="1"/>
  <c r="P952" i="18"/>
  <c r="S952" i="18" s="1"/>
  <c r="P951" i="18"/>
  <c r="S951" i="18" s="1"/>
  <c r="P950" i="18"/>
  <c r="S950" i="18" s="1"/>
  <c r="P949" i="18"/>
  <c r="S949" i="18" s="1"/>
  <c r="P948" i="18"/>
  <c r="S948" i="18" s="1"/>
  <c r="P947" i="18"/>
  <c r="S947" i="18" s="1"/>
  <c r="P946" i="18"/>
  <c r="S946" i="18" s="1"/>
  <c r="P945" i="18"/>
  <c r="S945" i="18" s="1"/>
  <c r="P944" i="18"/>
  <c r="S944" i="18" s="1"/>
  <c r="P943" i="18"/>
  <c r="S943" i="18" s="1"/>
  <c r="P942" i="18"/>
  <c r="S942" i="18" s="1"/>
  <c r="P941" i="18"/>
  <c r="S941" i="18" s="1"/>
  <c r="P940" i="18"/>
  <c r="S940" i="18" s="1"/>
  <c r="P939" i="18"/>
  <c r="S939" i="18" s="1"/>
  <c r="P938" i="18"/>
  <c r="S938" i="18" s="1"/>
  <c r="P937" i="18"/>
  <c r="S937" i="18" s="1"/>
  <c r="P936" i="18"/>
  <c r="S936" i="18" s="1"/>
  <c r="P935" i="18"/>
  <c r="S935" i="18" s="1"/>
  <c r="P934" i="18"/>
  <c r="S934" i="18" s="1"/>
  <c r="P933" i="18"/>
  <c r="S933" i="18" s="1"/>
  <c r="P932" i="18"/>
  <c r="S932" i="18" s="1"/>
  <c r="P931" i="18"/>
  <c r="S931" i="18" s="1"/>
  <c r="P930" i="18"/>
  <c r="S930" i="18" s="1"/>
  <c r="P929" i="18"/>
  <c r="S929" i="18" s="1"/>
  <c r="P928" i="18"/>
  <c r="S928" i="18" s="1"/>
  <c r="P927" i="18"/>
  <c r="S927" i="18" s="1"/>
  <c r="P926" i="18"/>
  <c r="S926" i="18" s="1"/>
  <c r="P925" i="18"/>
  <c r="S925" i="18" s="1"/>
  <c r="P924" i="18"/>
  <c r="S924" i="18" s="1"/>
  <c r="P923" i="18"/>
  <c r="S923" i="18" s="1"/>
  <c r="P922" i="18"/>
  <c r="S922" i="18" s="1"/>
  <c r="P921" i="18"/>
  <c r="S921" i="18" s="1"/>
  <c r="P920" i="18"/>
  <c r="S920" i="18" s="1"/>
  <c r="P919" i="18"/>
  <c r="S919" i="18" s="1"/>
  <c r="P918" i="18"/>
  <c r="S918" i="18" s="1"/>
  <c r="P917" i="18"/>
  <c r="S917" i="18" s="1"/>
  <c r="P916" i="18"/>
  <c r="S916" i="18" s="1"/>
  <c r="P915" i="18"/>
  <c r="S915" i="18" s="1"/>
  <c r="P914" i="18"/>
  <c r="S914" i="18" s="1"/>
  <c r="P913" i="18"/>
  <c r="S913" i="18" s="1"/>
  <c r="P912" i="18"/>
  <c r="S912" i="18" s="1"/>
  <c r="P911" i="18"/>
  <c r="S911" i="18" s="1"/>
  <c r="P910" i="18"/>
  <c r="S910" i="18" s="1"/>
  <c r="P909" i="18"/>
  <c r="S909" i="18" s="1"/>
  <c r="P908" i="18"/>
  <c r="S908" i="18" s="1"/>
  <c r="P907" i="18"/>
  <c r="S907" i="18" s="1"/>
  <c r="P906" i="18"/>
  <c r="S906" i="18" s="1"/>
  <c r="P905" i="18"/>
  <c r="S905" i="18" s="1"/>
  <c r="P904" i="18"/>
  <c r="S904" i="18" s="1"/>
  <c r="P903" i="18"/>
  <c r="S903" i="18" s="1"/>
  <c r="P902" i="18"/>
  <c r="S902" i="18" s="1"/>
  <c r="P901" i="18"/>
  <c r="S901" i="18" s="1"/>
  <c r="P900" i="18"/>
  <c r="S900" i="18" s="1"/>
  <c r="P899" i="18"/>
  <c r="S899" i="18" s="1"/>
  <c r="P898" i="18"/>
  <c r="S898" i="18" s="1"/>
  <c r="P897" i="18"/>
  <c r="S897" i="18" s="1"/>
  <c r="P896" i="18"/>
  <c r="S896" i="18" s="1"/>
  <c r="P895" i="18"/>
  <c r="S895" i="18" s="1"/>
  <c r="P894" i="18"/>
  <c r="S894" i="18" s="1"/>
  <c r="P893" i="18"/>
  <c r="S893" i="18" s="1"/>
  <c r="P892" i="18"/>
  <c r="S892" i="18" s="1"/>
  <c r="P891" i="18"/>
  <c r="S891" i="18" s="1"/>
  <c r="P890" i="18"/>
  <c r="S890" i="18" s="1"/>
  <c r="P889" i="18"/>
  <c r="S889" i="18" s="1"/>
  <c r="P888" i="18"/>
  <c r="S888" i="18" s="1"/>
  <c r="P887" i="18"/>
  <c r="S887" i="18" s="1"/>
  <c r="P886" i="18"/>
  <c r="S886" i="18" s="1"/>
  <c r="P885" i="18"/>
  <c r="S885" i="18" s="1"/>
  <c r="P884" i="18"/>
  <c r="S884" i="18" s="1"/>
  <c r="P883" i="18"/>
  <c r="S883" i="18" s="1"/>
  <c r="P882" i="18"/>
  <c r="S882" i="18" s="1"/>
  <c r="P881" i="18"/>
  <c r="S881" i="18" s="1"/>
  <c r="P880" i="18"/>
  <c r="S880" i="18" s="1"/>
  <c r="P879" i="18"/>
  <c r="S879" i="18" s="1"/>
  <c r="P878" i="18"/>
  <c r="S878" i="18" s="1"/>
  <c r="P877" i="18"/>
  <c r="S877" i="18" s="1"/>
  <c r="P876" i="18"/>
  <c r="S876" i="18" s="1"/>
  <c r="P875" i="18"/>
  <c r="S875" i="18" s="1"/>
  <c r="P874" i="18"/>
  <c r="S874" i="18" s="1"/>
  <c r="P873" i="18"/>
  <c r="S873" i="18" s="1"/>
  <c r="P872" i="18"/>
  <c r="S872" i="18" s="1"/>
  <c r="P871" i="18"/>
  <c r="S871" i="18" s="1"/>
  <c r="P870" i="18"/>
  <c r="S870" i="18" s="1"/>
  <c r="P869" i="18"/>
  <c r="S869" i="18" s="1"/>
  <c r="P868" i="18"/>
  <c r="S868" i="18" s="1"/>
  <c r="P867" i="18"/>
  <c r="S867" i="18" s="1"/>
  <c r="P866" i="18"/>
  <c r="S866" i="18" s="1"/>
  <c r="P865" i="18"/>
  <c r="S865" i="18" s="1"/>
  <c r="P864" i="18"/>
  <c r="S864" i="18" s="1"/>
  <c r="P863" i="18"/>
  <c r="S863" i="18" s="1"/>
  <c r="P862" i="18"/>
  <c r="S862" i="18" s="1"/>
  <c r="P861" i="18"/>
  <c r="S861" i="18" s="1"/>
  <c r="P860" i="18"/>
  <c r="S860" i="18" s="1"/>
  <c r="P859" i="18"/>
  <c r="S859" i="18" s="1"/>
  <c r="P858" i="18"/>
  <c r="S858" i="18" s="1"/>
  <c r="P857" i="18"/>
  <c r="S857" i="18" s="1"/>
  <c r="P856" i="18"/>
  <c r="S856" i="18" s="1"/>
  <c r="P855" i="18"/>
  <c r="S855" i="18" s="1"/>
  <c r="P854" i="18"/>
  <c r="S854" i="18" s="1"/>
  <c r="P853" i="18"/>
  <c r="S853" i="18" s="1"/>
  <c r="P852" i="18"/>
  <c r="S852" i="18" s="1"/>
  <c r="P851" i="18"/>
  <c r="S851" i="18" s="1"/>
  <c r="P850" i="18"/>
  <c r="S850" i="18" s="1"/>
  <c r="P849" i="18"/>
  <c r="S849" i="18" s="1"/>
  <c r="P848" i="18"/>
  <c r="S848" i="18" s="1"/>
  <c r="P847" i="18"/>
  <c r="S847" i="18" s="1"/>
  <c r="P846" i="18"/>
  <c r="S846" i="18" s="1"/>
  <c r="P845" i="18"/>
  <c r="S845" i="18" s="1"/>
  <c r="P844" i="18"/>
  <c r="S844" i="18" s="1"/>
  <c r="P843" i="18"/>
  <c r="S843" i="18" s="1"/>
  <c r="P842" i="18"/>
  <c r="S842" i="18" s="1"/>
  <c r="P841" i="18"/>
  <c r="S841" i="18" s="1"/>
  <c r="P840" i="18"/>
  <c r="S840" i="18" s="1"/>
  <c r="P839" i="18"/>
  <c r="S839" i="18" s="1"/>
  <c r="P838" i="18"/>
  <c r="S838" i="18" s="1"/>
  <c r="P837" i="18"/>
  <c r="S837" i="18" s="1"/>
  <c r="P836" i="18"/>
  <c r="S836" i="18" s="1"/>
  <c r="P835" i="18"/>
  <c r="S835" i="18" s="1"/>
  <c r="P834" i="18"/>
  <c r="S834" i="18" s="1"/>
  <c r="P833" i="18"/>
  <c r="S833" i="18" s="1"/>
  <c r="P832" i="18"/>
  <c r="S832" i="18" s="1"/>
  <c r="P831" i="18"/>
  <c r="S831" i="18" s="1"/>
  <c r="P830" i="18"/>
  <c r="S830" i="18" s="1"/>
  <c r="P829" i="18"/>
  <c r="S829" i="18" s="1"/>
  <c r="P828" i="18"/>
  <c r="S828" i="18" s="1"/>
  <c r="P827" i="18"/>
  <c r="S827" i="18" s="1"/>
  <c r="P826" i="18"/>
  <c r="S826" i="18" s="1"/>
  <c r="P825" i="18"/>
  <c r="S825" i="18" s="1"/>
  <c r="P824" i="18"/>
  <c r="S824" i="18" s="1"/>
  <c r="P823" i="18"/>
  <c r="S823" i="18" s="1"/>
  <c r="P822" i="18"/>
  <c r="S822" i="18" s="1"/>
  <c r="P821" i="18"/>
  <c r="S821" i="18" s="1"/>
  <c r="P820" i="18"/>
  <c r="S820" i="18" s="1"/>
  <c r="P819" i="18"/>
  <c r="S819" i="18" s="1"/>
  <c r="P818" i="18"/>
  <c r="S818" i="18" s="1"/>
  <c r="P817" i="18"/>
  <c r="S817" i="18" s="1"/>
  <c r="P816" i="18"/>
  <c r="S816" i="18" s="1"/>
  <c r="P815" i="18"/>
  <c r="S815" i="18" s="1"/>
  <c r="P814" i="18"/>
  <c r="S814" i="18" s="1"/>
  <c r="P813" i="18"/>
  <c r="S813" i="18" s="1"/>
  <c r="P812" i="18"/>
  <c r="S812" i="18" s="1"/>
  <c r="P811" i="18"/>
  <c r="S811" i="18" s="1"/>
  <c r="P810" i="18"/>
  <c r="S810" i="18" s="1"/>
  <c r="P809" i="18"/>
  <c r="S809" i="18" s="1"/>
  <c r="P808" i="18"/>
  <c r="S808" i="18" s="1"/>
  <c r="P807" i="18"/>
  <c r="S807" i="18" s="1"/>
  <c r="P806" i="18"/>
  <c r="S806" i="18" s="1"/>
  <c r="P805" i="18"/>
  <c r="S805" i="18" s="1"/>
  <c r="P804" i="18"/>
  <c r="S804" i="18" s="1"/>
  <c r="P803" i="18"/>
  <c r="S803" i="18" s="1"/>
  <c r="P802" i="18"/>
  <c r="S802" i="18" s="1"/>
  <c r="P801" i="18"/>
  <c r="S801" i="18" s="1"/>
  <c r="P800" i="18"/>
  <c r="S800" i="18" s="1"/>
  <c r="P799" i="18"/>
  <c r="S799" i="18" s="1"/>
  <c r="P798" i="18"/>
  <c r="S798" i="18" s="1"/>
  <c r="P797" i="18"/>
  <c r="S797" i="18" s="1"/>
  <c r="P796" i="18"/>
  <c r="S796" i="18" s="1"/>
  <c r="P795" i="18"/>
  <c r="S795" i="18" s="1"/>
  <c r="P794" i="18"/>
  <c r="S794" i="18" s="1"/>
  <c r="P793" i="18"/>
  <c r="S793" i="18" s="1"/>
  <c r="P792" i="18"/>
  <c r="S792" i="18" s="1"/>
  <c r="P791" i="18"/>
  <c r="S791" i="18" s="1"/>
  <c r="P790" i="18"/>
  <c r="S790" i="18" s="1"/>
  <c r="P789" i="18"/>
  <c r="S789" i="18" s="1"/>
  <c r="P787" i="18"/>
  <c r="S787" i="18" s="1"/>
  <c r="O787" i="18"/>
  <c r="K787" i="18"/>
  <c r="P786" i="18"/>
  <c r="S786" i="18" s="1"/>
  <c r="O786" i="18"/>
  <c r="K786" i="18"/>
  <c r="P785" i="18"/>
  <c r="S785" i="18" s="1"/>
  <c r="O785" i="18"/>
  <c r="K785" i="18"/>
  <c r="P784" i="18"/>
  <c r="S784" i="18" s="1"/>
  <c r="O784" i="18"/>
  <c r="K784" i="18"/>
  <c r="P783" i="18"/>
  <c r="S783" i="18" s="1"/>
  <c r="O783" i="18"/>
  <c r="K783" i="18"/>
  <c r="P782" i="18"/>
  <c r="S782" i="18" s="1"/>
  <c r="O782" i="18"/>
  <c r="K782" i="18"/>
  <c r="P781" i="18"/>
  <c r="S781" i="18" s="1"/>
  <c r="O781" i="18"/>
  <c r="K781" i="18"/>
  <c r="P780" i="18"/>
  <c r="S780" i="18" s="1"/>
  <c r="O780" i="18"/>
  <c r="K780" i="18"/>
  <c r="P779" i="18"/>
  <c r="S779" i="18" s="1"/>
  <c r="O779" i="18"/>
  <c r="K779" i="18"/>
  <c r="P778" i="18"/>
  <c r="S778" i="18" s="1"/>
  <c r="O778" i="18"/>
  <c r="K778" i="18"/>
  <c r="P777" i="18"/>
  <c r="S777" i="18" s="1"/>
  <c r="O777" i="18"/>
  <c r="K777" i="18"/>
  <c r="P776" i="18"/>
  <c r="S776" i="18" s="1"/>
  <c r="O776" i="18"/>
  <c r="K776" i="18"/>
  <c r="P775" i="18"/>
  <c r="S775" i="18" s="1"/>
  <c r="O775" i="18"/>
  <c r="K775" i="18"/>
  <c r="P774" i="18"/>
  <c r="S774" i="18" s="1"/>
  <c r="O774" i="18"/>
  <c r="K774" i="18"/>
  <c r="P773" i="18"/>
  <c r="S773" i="18" s="1"/>
  <c r="O773" i="18"/>
  <c r="K773" i="18"/>
  <c r="P772" i="18"/>
  <c r="S772" i="18" s="1"/>
  <c r="O772" i="18"/>
  <c r="K772" i="18"/>
  <c r="P771" i="18"/>
  <c r="S771" i="18" s="1"/>
  <c r="O771" i="18"/>
  <c r="K771" i="18"/>
  <c r="P770" i="18"/>
  <c r="S770" i="18" s="1"/>
  <c r="O770" i="18"/>
  <c r="K770" i="18"/>
  <c r="P769" i="18"/>
  <c r="S769" i="18" s="1"/>
  <c r="O769" i="18"/>
  <c r="K769" i="18"/>
  <c r="P768" i="18"/>
  <c r="S768" i="18" s="1"/>
  <c r="O768" i="18"/>
  <c r="K768" i="18"/>
  <c r="P767" i="18"/>
  <c r="S767" i="18" s="1"/>
  <c r="O767" i="18"/>
  <c r="K767" i="18"/>
  <c r="P766" i="18"/>
  <c r="S766" i="18" s="1"/>
  <c r="O766" i="18"/>
  <c r="K766" i="18"/>
  <c r="P765" i="18"/>
  <c r="S765" i="18" s="1"/>
  <c r="O765" i="18"/>
  <c r="K765" i="18"/>
  <c r="P764" i="18"/>
  <c r="S764" i="18" s="1"/>
  <c r="O764" i="18"/>
  <c r="K764" i="18"/>
  <c r="P763" i="18"/>
  <c r="S763" i="18" s="1"/>
  <c r="O763" i="18"/>
  <c r="K763" i="18"/>
  <c r="P762" i="18"/>
  <c r="S762" i="18" s="1"/>
  <c r="O762" i="18"/>
  <c r="K762" i="18"/>
  <c r="P761" i="18"/>
  <c r="S761" i="18" s="1"/>
  <c r="O761" i="18"/>
  <c r="K761" i="18"/>
  <c r="P760" i="18"/>
  <c r="S760" i="18" s="1"/>
  <c r="O760" i="18"/>
  <c r="K760" i="18"/>
  <c r="P759" i="18"/>
  <c r="S759" i="18" s="1"/>
  <c r="O759" i="18"/>
  <c r="K759" i="18"/>
  <c r="P758" i="18"/>
  <c r="S758" i="18" s="1"/>
  <c r="O758" i="18"/>
  <c r="K758" i="18"/>
  <c r="P757" i="18"/>
  <c r="S757" i="18" s="1"/>
  <c r="O757" i="18"/>
  <c r="K757" i="18"/>
  <c r="P756" i="18"/>
  <c r="S756" i="18" s="1"/>
  <c r="O756" i="18"/>
  <c r="K756" i="18"/>
  <c r="P754" i="18"/>
  <c r="S754" i="18" s="1"/>
  <c r="P753" i="18"/>
  <c r="S753" i="18" s="1"/>
  <c r="P752" i="18"/>
  <c r="S752" i="18" s="1"/>
  <c r="P751" i="18"/>
  <c r="S751" i="18" s="1"/>
  <c r="P750" i="18"/>
  <c r="S750" i="18" s="1"/>
  <c r="P749" i="18"/>
  <c r="S749" i="18" s="1"/>
  <c r="P748" i="18"/>
  <c r="S748" i="18" s="1"/>
  <c r="P747" i="18"/>
  <c r="S747" i="18" s="1"/>
  <c r="P746" i="18"/>
  <c r="S746" i="18" s="1"/>
  <c r="P745" i="18"/>
  <c r="S745" i="18" s="1"/>
  <c r="P744" i="18"/>
  <c r="S744" i="18" s="1"/>
  <c r="P743" i="18"/>
  <c r="S743" i="18" s="1"/>
  <c r="P742" i="18"/>
  <c r="S742" i="18" s="1"/>
  <c r="P741" i="18"/>
  <c r="S741" i="18" s="1"/>
  <c r="P740" i="18"/>
  <c r="S740" i="18" s="1"/>
  <c r="P739" i="18"/>
  <c r="S739" i="18" s="1"/>
  <c r="P738" i="18"/>
  <c r="S738" i="18" s="1"/>
  <c r="P737" i="18"/>
  <c r="S737" i="18" s="1"/>
  <c r="P736" i="18"/>
  <c r="P735" i="18"/>
  <c r="P734" i="18"/>
  <c r="P733" i="18"/>
  <c r="P732" i="18"/>
  <c r="P731" i="18"/>
  <c r="P730" i="18"/>
  <c r="P729" i="18"/>
  <c r="P727" i="18"/>
  <c r="S727" i="18" s="1"/>
  <c r="O727" i="18"/>
  <c r="K727" i="18"/>
  <c r="P726" i="18"/>
  <c r="S726" i="18" s="1"/>
  <c r="O726" i="18"/>
  <c r="K726" i="18"/>
  <c r="P725" i="18"/>
  <c r="S725" i="18" s="1"/>
  <c r="O725" i="18"/>
  <c r="K725" i="18"/>
  <c r="P724" i="18"/>
  <c r="S724" i="18" s="1"/>
  <c r="O724" i="18"/>
  <c r="K724" i="18"/>
  <c r="P723" i="18"/>
  <c r="S723" i="18" s="1"/>
  <c r="O723" i="18"/>
  <c r="K723" i="18"/>
  <c r="P722" i="18"/>
  <c r="S722" i="18" s="1"/>
  <c r="O722" i="18"/>
  <c r="K722" i="18"/>
  <c r="P721" i="18"/>
  <c r="S721" i="18" s="1"/>
  <c r="O721" i="18"/>
  <c r="K721" i="18"/>
  <c r="P720" i="18"/>
  <c r="S720" i="18" s="1"/>
  <c r="O720" i="18"/>
  <c r="K720" i="18"/>
  <c r="P719" i="18"/>
  <c r="S719" i="18" s="1"/>
  <c r="O719" i="18"/>
  <c r="K719" i="18"/>
  <c r="P718" i="18"/>
  <c r="S718" i="18" s="1"/>
  <c r="O718" i="18"/>
  <c r="K718" i="18"/>
  <c r="P717" i="18"/>
  <c r="S717" i="18" s="1"/>
  <c r="O717" i="18"/>
  <c r="K717" i="18"/>
  <c r="P716" i="18"/>
  <c r="S716" i="18" s="1"/>
  <c r="O716" i="18"/>
  <c r="K716" i="18"/>
  <c r="P715" i="18"/>
  <c r="S715" i="18" s="1"/>
  <c r="O715" i="18"/>
  <c r="K715" i="18"/>
  <c r="P714" i="18"/>
  <c r="S714" i="18" s="1"/>
  <c r="O714" i="18"/>
  <c r="K714" i="18"/>
  <c r="P713" i="18"/>
  <c r="S713" i="18" s="1"/>
  <c r="O713" i="18"/>
  <c r="K713" i="18"/>
  <c r="P712" i="18"/>
  <c r="S712" i="18" s="1"/>
  <c r="O712" i="18"/>
  <c r="K712" i="18"/>
  <c r="P711" i="18"/>
  <c r="S711" i="18" s="1"/>
  <c r="O711" i="18"/>
  <c r="K711" i="18"/>
  <c r="P710" i="18"/>
  <c r="S710" i="18" s="1"/>
  <c r="O710" i="18"/>
  <c r="K710" i="18"/>
  <c r="P709" i="18"/>
  <c r="S709" i="18" s="1"/>
  <c r="O709" i="18"/>
  <c r="K709" i="18"/>
  <c r="P708" i="18"/>
  <c r="S708" i="18" s="1"/>
  <c r="O708" i="18"/>
  <c r="K708" i="18"/>
  <c r="P707" i="18"/>
  <c r="S707" i="18" s="1"/>
  <c r="O707" i="18"/>
  <c r="K707" i="18"/>
  <c r="P706" i="18"/>
  <c r="S706" i="18" s="1"/>
  <c r="O706" i="18"/>
  <c r="K706" i="18"/>
  <c r="P705" i="18"/>
  <c r="S705" i="18" s="1"/>
  <c r="O705" i="18"/>
  <c r="K705" i="18"/>
  <c r="P704" i="18"/>
  <c r="S704" i="18" s="1"/>
  <c r="O704" i="18"/>
  <c r="K704" i="18"/>
  <c r="P703" i="18"/>
  <c r="S703" i="18" s="1"/>
  <c r="O703" i="18"/>
  <c r="K703" i="18"/>
  <c r="P702" i="18"/>
  <c r="S702" i="18" s="1"/>
  <c r="O702" i="18"/>
  <c r="K702" i="18"/>
  <c r="P701" i="18"/>
  <c r="S701" i="18" s="1"/>
  <c r="O701" i="18"/>
  <c r="K701" i="18"/>
  <c r="P700" i="18"/>
  <c r="S700" i="18" s="1"/>
  <c r="O700" i="18"/>
  <c r="K700" i="18"/>
  <c r="P699" i="18"/>
  <c r="S699" i="18" s="1"/>
  <c r="O699" i="18"/>
  <c r="K699" i="18"/>
  <c r="P698" i="18"/>
  <c r="S698" i="18" s="1"/>
  <c r="O698" i="18"/>
  <c r="K698" i="18"/>
  <c r="P697" i="18"/>
  <c r="S697" i="18" s="1"/>
  <c r="O697" i="18"/>
  <c r="K697" i="18"/>
  <c r="P696" i="18"/>
  <c r="S696" i="18" s="1"/>
  <c r="O696" i="18"/>
  <c r="K696" i="18"/>
  <c r="P694" i="18"/>
  <c r="S694" i="18" s="1"/>
  <c r="P693" i="18"/>
  <c r="S693" i="18" s="1"/>
  <c r="P692" i="18"/>
  <c r="S692" i="18" s="1"/>
  <c r="P691" i="18"/>
  <c r="S691" i="18" s="1"/>
  <c r="P690" i="18"/>
  <c r="S690" i="18" s="1"/>
  <c r="P689" i="18"/>
  <c r="S689" i="18" s="1"/>
  <c r="P688" i="18"/>
  <c r="S688" i="18" s="1"/>
  <c r="P687" i="18"/>
  <c r="S687" i="18" s="1"/>
  <c r="P686" i="18"/>
  <c r="S686" i="18" s="1"/>
  <c r="P685" i="18"/>
  <c r="S685" i="18" s="1"/>
  <c r="P684" i="18"/>
  <c r="S684" i="18" s="1"/>
  <c r="P683" i="18"/>
  <c r="S683" i="18" s="1"/>
  <c r="P682" i="18"/>
  <c r="S682" i="18" s="1"/>
  <c r="P681" i="18"/>
  <c r="S681" i="18" s="1"/>
  <c r="P680" i="18"/>
  <c r="S680" i="18" s="1"/>
  <c r="P679" i="18"/>
  <c r="S679" i="18" s="1"/>
  <c r="P678" i="18"/>
  <c r="S678" i="18" s="1"/>
  <c r="P677" i="18"/>
  <c r="S677" i="18" s="1"/>
  <c r="P676" i="18"/>
  <c r="S676" i="18" s="1"/>
  <c r="P675" i="18"/>
  <c r="S675" i="18" s="1"/>
  <c r="P674" i="18"/>
  <c r="S674" i="18" s="1"/>
  <c r="P673" i="18"/>
  <c r="S673" i="18" s="1"/>
  <c r="P672" i="18"/>
  <c r="S672" i="18" s="1"/>
  <c r="P671" i="18"/>
  <c r="S671" i="18" s="1"/>
  <c r="P670" i="18"/>
  <c r="S670" i="18" s="1"/>
  <c r="P669" i="18"/>
  <c r="S669" i="18" s="1"/>
  <c r="P668" i="18"/>
  <c r="S668" i="18" s="1"/>
  <c r="P667" i="18"/>
  <c r="S667" i="18" s="1"/>
  <c r="P666" i="18"/>
  <c r="S666" i="18" s="1"/>
  <c r="P665" i="18"/>
  <c r="S665" i="18" s="1"/>
  <c r="P664" i="18"/>
  <c r="S664" i="18" s="1"/>
  <c r="S663" i="18"/>
  <c r="S657" i="18"/>
  <c r="S651" i="18"/>
  <c r="S645" i="18"/>
  <c r="S639" i="18"/>
  <c r="S633" i="18"/>
  <c r="S627" i="18"/>
  <c r="S609" i="18"/>
  <c r="S603" i="18"/>
  <c r="S597" i="18"/>
  <c r="S591" i="18"/>
  <c r="S588" i="18"/>
  <c r="S587" i="18"/>
  <c r="S586" i="18"/>
  <c r="S585" i="18"/>
  <c r="S584" i="18"/>
  <c r="S583" i="18"/>
  <c r="S582" i="18"/>
  <c r="S581" i="18"/>
  <c r="S580" i="18"/>
  <c r="S579" i="18"/>
  <c r="S578" i="18"/>
  <c r="S577" i="18"/>
  <c r="S576" i="18"/>
  <c r="S575" i="18"/>
  <c r="S574" i="18"/>
  <c r="S573" i="18"/>
  <c r="S572" i="18"/>
  <c r="S571" i="18"/>
  <c r="S570" i="18"/>
  <c r="S569" i="18"/>
  <c r="K564" i="18"/>
  <c r="O564" i="18" s="1"/>
  <c r="K563" i="18"/>
  <c r="O563" i="18" s="1"/>
  <c r="K562" i="18"/>
  <c r="O562" i="18" s="1"/>
  <c r="K560" i="18"/>
  <c r="O560" i="18" s="1"/>
  <c r="K559" i="18"/>
  <c r="O559" i="18" s="1"/>
  <c r="K558" i="18"/>
  <c r="O558" i="18" s="1"/>
  <c r="K556" i="18"/>
  <c r="O556" i="18" s="1"/>
  <c r="K555" i="18"/>
  <c r="O555" i="18" s="1"/>
  <c r="K554" i="18"/>
  <c r="O554" i="18" s="1"/>
  <c r="S552" i="18"/>
  <c r="S551" i="18"/>
  <c r="S550" i="18"/>
  <c r="S549" i="18"/>
  <c r="S548" i="18"/>
  <c r="S545" i="18"/>
  <c r="S538" i="18"/>
  <c r="S537" i="18"/>
  <c r="S536" i="18"/>
  <c r="S535" i="18"/>
  <c r="S534" i="18"/>
  <c r="S533" i="18"/>
  <c r="S532" i="18"/>
  <c r="P530" i="18"/>
  <c r="S530" i="18" s="1"/>
  <c r="O530" i="18"/>
  <c r="P529" i="18"/>
  <c r="S529" i="18" s="1"/>
  <c r="O529" i="18"/>
  <c r="K529" i="18"/>
  <c r="P528" i="18"/>
  <c r="S528" i="18" s="1"/>
  <c r="O528" i="18"/>
  <c r="K528" i="18"/>
  <c r="P527" i="18"/>
  <c r="S527" i="18" s="1"/>
  <c r="O527" i="18"/>
  <c r="K527" i="18"/>
  <c r="P526" i="18"/>
  <c r="S526" i="18" s="1"/>
  <c r="O526" i="18"/>
  <c r="K526" i="18"/>
  <c r="P525" i="18"/>
  <c r="S525" i="18" s="1"/>
  <c r="O525" i="18"/>
  <c r="K525" i="18"/>
  <c r="P524" i="18"/>
  <c r="S524" i="18" s="1"/>
  <c r="O524" i="18"/>
  <c r="K524" i="18"/>
  <c r="P523" i="18"/>
  <c r="S523" i="18" s="1"/>
  <c r="O523" i="18"/>
  <c r="K523" i="18"/>
  <c r="P522" i="18"/>
  <c r="S522" i="18" s="1"/>
  <c r="O522" i="18"/>
  <c r="K522" i="18"/>
  <c r="P521" i="18"/>
  <c r="S521" i="18" s="1"/>
  <c r="O521" i="18"/>
  <c r="K521" i="18"/>
  <c r="P520" i="18"/>
  <c r="S520" i="18" s="1"/>
  <c r="O520" i="18"/>
  <c r="K520" i="18"/>
  <c r="P519" i="18"/>
  <c r="S519" i="18" s="1"/>
  <c r="O519" i="18"/>
  <c r="K519" i="18"/>
  <c r="P518" i="18"/>
  <c r="S518" i="18" s="1"/>
  <c r="O518" i="18"/>
  <c r="K518" i="18"/>
  <c r="P517" i="18"/>
  <c r="S517" i="18" s="1"/>
  <c r="O517" i="18"/>
  <c r="K517" i="18"/>
  <c r="P516" i="18"/>
  <c r="S516" i="18" s="1"/>
  <c r="O516" i="18"/>
  <c r="K516" i="18"/>
  <c r="P515" i="18"/>
  <c r="S515" i="18" s="1"/>
  <c r="O515" i="18"/>
  <c r="K515" i="18"/>
  <c r="P514" i="18"/>
  <c r="S514" i="18" s="1"/>
  <c r="O514" i="18"/>
  <c r="K514" i="18"/>
  <c r="P513" i="18"/>
  <c r="S513" i="18" s="1"/>
  <c r="O513" i="18"/>
  <c r="K513" i="18"/>
  <c r="P512" i="18"/>
  <c r="S512" i="18" s="1"/>
  <c r="O512" i="18"/>
  <c r="K512" i="18"/>
  <c r="P511" i="18"/>
  <c r="S511" i="18" s="1"/>
  <c r="O511" i="18"/>
  <c r="K511" i="18"/>
  <c r="P510" i="18"/>
  <c r="S510" i="18" s="1"/>
  <c r="O510" i="18"/>
  <c r="K510" i="18"/>
  <c r="P509" i="18"/>
  <c r="S509" i="18" s="1"/>
  <c r="O509" i="18"/>
  <c r="K509" i="18"/>
  <c r="P508" i="18"/>
  <c r="S508" i="18" s="1"/>
  <c r="O508" i="18"/>
  <c r="K508" i="18"/>
  <c r="P507" i="18"/>
  <c r="S507" i="18" s="1"/>
  <c r="O507" i="18"/>
  <c r="K507" i="18"/>
  <c r="P506" i="18"/>
  <c r="S506" i="18" s="1"/>
  <c r="O506" i="18"/>
  <c r="K506" i="18"/>
  <c r="P504" i="18"/>
  <c r="S504" i="18" s="1"/>
  <c r="P503" i="18"/>
  <c r="O503" i="18"/>
  <c r="P502" i="18"/>
  <c r="O502" i="18"/>
  <c r="P501" i="18"/>
  <c r="O501" i="18"/>
  <c r="P500" i="18"/>
  <c r="P499" i="18"/>
  <c r="S499" i="18" s="1"/>
  <c r="P498" i="18"/>
  <c r="O498" i="18"/>
  <c r="P497" i="18"/>
  <c r="O497" i="18"/>
  <c r="P496" i="18"/>
  <c r="O496" i="18"/>
  <c r="P495" i="18"/>
  <c r="P494" i="18"/>
  <c r="S494" i="18" s="1"/>
  <c r="P493" i="18"/>
  <c r="O493" i="18"/>
  <c r="P492" i="18"/>
  <c r="O492" i="18"/>
  <c r="P491" i="18"/>
  <c r="O491" i="18"/>
  <c r="P490" i="18"/>
  <c r="P489" i="18"/>
  <c r="S489" i="18" s="1"/>
  <c r="P488" i="18"/>
  <c r="O488" i="18"/>
  <c r="P487" i="18"/>
  <c r="O487" i="18"/>
  <c r="P486" i="18"/>
  <c r="O486" i="18"/>
  <c r="P485" i="18"/>
  <c r="P484" i="18"/>
  <c r="S484" i="18" s="1"/>
  <c r="P483" i="18"/>
  <c r="O483" i="18"/>
  <c r="P482" i="18"/>
  <c r="O482" i="18"/>
  <c r="P481" i="18"/>
  <c r="O481" i="18"/>
  <c r="P480" i="18"/>
  <c r="S480" i="18" s="1"/>
  <c r="P479" i="18"/>
  <c r="S479" i="18" s="1"/>
  <c r="P478" i="18"/>
  <c r="S478" i="18" s="1"/>
  <c r="P477" i="18"/>
  <c r="S477" i="18" s="1"/>
  <c r="P475" i="18"/>
  <c r="S475" i="18" s="1"/>
  <c r="O475" i="18"/>
  <c r="K475" i="18"/>
  <c r="P474" i="18"/>
  <c r="S474" i="18" s="1"/>
  <c r="O474" i="18"/>
  <c r="K474" i="18"/>
  <c r="P473" i="18"/>
  <c r="S473" i="18" s="1"/>
  <c r="O473" i="18"/>
  <c r="K473" i="18"/>
  <c r="P472" i="18"/>
  <c r="S472" i="18" s="1"/>
  <c r="O472" i="18"/>
  <c r="K472" i="18"/>
  <c r="P471" i="18"/>
  <c r="S471" i="18" s="1"/>
  <c r="O471" i="18"/>
  <c r="K471" i="18"/>
  <c r="P470" i="18"/>
  <c r="S470" i="18" s="1"/>
  <c r="O470" i="18"/>
  <c r="K470" i="18"/>
  <c r="P469" i="18"/>
  <c r="S469" i="18" s="1"/>
  <c r="O469" i="18"/>
  <c r="K469" i="18"/>
  <c r="P468" i="18"/>
  <c r="S468" i="18" s="1"/>
  <c r="O468" i="18"/>
  <c r="K468" i="18"/>
  <c r="P467" i="18"/>
  <c r="S467" i="18" s="1"/>
  <c r="O467" i="18"/>
  <c r="K467" i="18"/>
  <c r="P466" i="18"/>
  <c r="S466" i="18" s="1"/>
  <c r="O466" i="18"/>
  <c r="K466" i="18"/>
  <c r="P465" i="18"/>
  <c r="S465" i="18" s="1"/>
  <c r="O465" i="18"/>
  <c r="K465" i="18"/>
  <c r="P464" i="18"/>
  <c r="S464" i="18" s="1"/>
  <c r="O464" i="18"/>
  <c r="K464" i="18"/>
  <c r="P463" i="18"/>
  <c r="S463" i="18" s="1"/>
  <c r="O463" i="18"/>
  <c r="K463" i="18"/>
  <c r="P462" i="18"/>
  <c r="S462" i="18" s="1"/>
  <c r="O462" i="18"/>
  <c r="K462" i="18"/>
  <c r="P461" i="18"/>
  <c r="S461" i="18" s="1"/>
  <c r="O461" i="18"/>
  <c r="K461" i="18"/>
  <c r="P460" i="18"/>
  <c r="S460" i="18" s="1"/>
  <c r="O460" i="18"/>
  <c r="K460" i="18"/>
  <c r="P459" i="18"/>
  <c r="S459" i="18" s="1"/>
  <c r="O459" i="18"/>
  <c r="K459" i="18"/>
  <c r="P458" i="18"/>
  <c r="S458" i="18" s="1"/>
  <c r="O458" i="18"/>
  <c r="K458" i="18"/>
  <c r="P457" i="18"/>
  <c r="S457" i="18" s="1"/>
  <c r="O457" i="18"/>
  <c r="K457" i="18"/>
  <c r="P456" i="18"/>
  <c r="S456" i="18" s="1"/>
  <c r="O456" i="18"/>
  <c r="K456" i="18"/>
  <c r="P455" i="18"/>
  <c r="S455" i="18" s="1"/>
  <c r="O455" i="18"/>
  <c r="K455" i="18"/>
  <c r="P454" i="18"/>
  <c r="S454" i="18" s="1"/>
  <c r="O454" i="18"/>
  <c r="K454" i="18"/>
  <c r="P453" i="18"/>
  <c r="S453" i="18" s="1"/>
  <c r="O453" i="18"/>
  <c r="K453" i="18"/>
  <c r="P452" i="18"/>
  <c r="S452" i="18" s="1"/>
  <c r="O452" i="18"/>
  <c r="K452" i="18"/>
  <c r="P451" i="18"/>
  <c r="S451" i="18" s="1"/>
  <c r="O451" i="18"/>
  <c r="K451" i="18"/>
  <c r="P449" i="18"/>
  <c r="S449" i="18" s="1"/>
  <c r="P448" i="18"/>
  <c r="S448" i="18" s="1"/>
  <c r="P447" i="18"/>
  <c r="P446" i="18"/>
  <c r="P445" i="18"/>
  <c r="P444" i="18"/>
  <c r="O444" i="18"/>
  <c r="P443" i="18"/>
  <c r="P442" i="18"/>
  <c r="P435" i="18"/>
  <c r="P434" i="18"/>
  <c r="P433" i="18"/>
  <c r="P432" i="18"/>
  <c r="R621" i="18" s="1"/>
  <c r="S621" i="18" s="1"/>
  <c r="P431" i="18"/>
  <c r="P430" i="18"/>
  <c r="P387" i="18"/>
  <c r="P386" i="18"/>
  <c r="P385" i="18"/>
  <c r="P384" i="18"/>
  <c r="P383" i="18"/>
  <c r="P382" i="18"/>
  <c r="P381" i="18"/>
  <c r="P380" i="18"/>
  <c r="P379" i="18"/>
  <c r="P378" i="18"/>
  <c r="P377" i="18"/>
  <c r="P376" i="18"/>
  <c r="P375" i="18"/>
  <c r="P374" i="18"/>
  <c r="P373" i="18"/>
  <c r="P372" i="18"/>
  <c r="P371" i="18"/>
  <c r="P370" i="18"/>
  <c r="P369" i="18"/>
  <c r="P368" i="18"/>
  <c r="P367" i="18"/>
  <c r="P366" i="18"/>
  <c r="P365" i="18"/>
  <c r="P364" i="18"/>
  <c r="P363" i="18"/>
  <c r="P362" i="18"/>
  <c r="O362" i="18"/>
  <c r="P361" i="18"/>
  <c r="P360" i="18"/>
  <c r="P359" i="18"/>
  <c r="P358" i="18"/>
  <c r="P357" i="18"/>
  <c r="P356" i="18"/>
  <c r="P355" i="18"/>
  <c r="P354" i="18"/>
  <c r="P353" i="18"/>
  <c r="P352" i="18"/>
  <c r="P351" i="18"/>
  <c r="P350" i="18"/>
  <c r="K350" i="18"/>
  <c r="O350" i="18" s="1"/>
  <c r="P349" i="18"/>
  <c r="K349" i="18"/>
  <c r="O349" i="18" s="1"/>
  <c r="P348" i="18"/>
  <c r="K348" i="18"/>
  <c r="O348" i="18" s="1"/>
  <c r="P347" i="18"/>
  <c r="K347" i="18"/>
  <c r="O347" i="18" s="1"/>
  <c r="P346" i="18"/>
  <c r="P303" i="18"/>
  <c r="P302" i="18"/>
  <c r="P301" i="18"/>
  <c r="P300" i="18"/>
  <c r="P299" i="18"/>
  <c r="P298" i="18"/>
  <c r="P297" i="18"/>
  <c r="P296" i="18"/>
  <c r="P295" i="18"/>
  <c r="P294" i="18"/>
  <c r="P293" i="18"/>
  <c r="P292" i="18"/>
  <c r="P291" i="18"/>
  <c r="P290" i="18"/>
  <c r="P289" i="18"/>
  <c r="P288" i="18"/>
  <c r="P287" i="18"/>
  <c r="P286" i="18"/>
  <c r="P285" i="18"/>
  <c r="P284" i="18"/>
  <c r="P283" i="18"/>
  <c r="P282" i="18"/>
  <c r="P281" i="18"/>
  <c r="P280" i="18"/>
  <c r="P279" i="18"/>
  <c r="P278" i="18"/>
  <c r="P277" i="18"/>
  <c r="P276" i="18"/>
  <c r="P275" i="18"/>
  <c r="P274" i="18"/>
  <c r="P273" i="18"/>
  <c r="P272" i="18"/>
  <c r="P271" i="18"/>
  <c r="P270" i="18"/>
  <c r="P269" i="18"/>
  <c r="P268" i="18"/>
  <c r="P267" i="18"/>
  <c r="O267" i="18"/>
  <c r="P266" i="18"/>
  <c r="P265" i="18"/>
  <c r="P264" i="18"/>
  <c r="P263" i="18"/>
  <c r="P262" i="18"/>
  <c r="P261" i="18"/>
  <c r="R447" i="18" s="1"/>
  <c r="P260" i="18"/>
  <c r="P259" i="18"/>
  <c r="P258" i="18"/>
  <c r="P257" i="18"/>
  <c r="P256" i="18"/>
  <c r="P255" i="18"/>
  <c r="P254" i="18"/>
  <c r="P253" i="18"/>
  <c r="S253" i="18" s="1"/>
  <c r="P252" i="18"/>
  <c r="S252" i="18" s="1"/>
  <c r="P251" i="18"/>
  <c r="S251" i="18" s="1"/>
  <c r="P250" i="18"/>
  <c r="S250" i="18" s="1"/>
  <c r="P249" i="18"/>
  <c r="P248" i="18"/>
  <c r="S248" i="18" s="1"/>
  <c r="P247" i="18"/>
  <c r="S247" i="18" s="1"/>
  <c r="P246" i="18"/>
  <c r="S246" i="18" s="1"/>
  <c r="P245" i="18"/>
  <c r="S245" i="18" s="1"/>
  <c r="P244" i="18"/>
  <c r="S244" i="18" s="1"/>
  <c r="P243" i="18"/>
  <c r="P242" i="18"/>
  <c r="S242" i="18" s="1"/>
  <c r="P241" i="18"/>
  <c r="S241" i="18" s="1"/>
  <c r="P240" i="18"/>
  <c r="S240" i="18" s="1"/>
  <c r="P239" i="18"/>
  <c r="S239" i="18" s="1"/>
  <c r="P238" i="18"/>
  <c r="S238" i="18" s="1"/>
  <c r="P237" i="18"/>
  <c r="P236" i="18"/>
  <c r="S235" i="18"/>
  <c r="S234" i="18"/>
  <c r="S233" i="18"/>
  <c r="S232" i="18"/>
  <c r="S230" i="18"/>
  <c r="S229" i="18"/>
  <c r="S228" i="18"/>
  <c r="S227" i="18"/>
  <c r="P225" i="18"/>
  <c r="O225" i="18"/>
  <c r="K225" i="18"/>
  <c r="P224" i="18"/>
  <c r="S224" i="18" s="1"/>
  <c r="O224" i="18"/>
  <c r="K224" i="18"/>
  <c r="P223" i="18"/>
  <c r="S223" i="18" s="1"/>
  <c r="O223" i="18"/>
  <c r="K223" i="18"/>
  <c r="P222" i="18"/>
  <c r="S222" i="18" s="1"/>
  <c r="O222" i="18"/>
  <c r="K222" i="18"/>
  <c r="P221" i="18"/>
  <c r="S221" i="18" s="1"/>
  <c r="O221" i="18"/>
  <c r="K221" i="18"/>
  <c r="P220" i="18"/>
  <c r="S220" i="18" s="1"/>
  <c r="O220" i="18"/>
  <c r="K220" i="18"/>
  <c r="P219" i="18"/>
  <c r="O219" i="18"/>
  <c r="K219" i="18"/>
  <c r="P218" i="18"/>
  <c r="S218" i="18" s="1"/>
  <c r="O218" i="18"/>
  <c r="K218" i="18"/>
  <c r="P217" i="18"/>
  <c r="S217" i="18" s="1"/>
  <c r="O217" i="18"/>
  <c r="K217" i="18"/>
  <c r="P216" i="18"/>
  <c r="S216" i="18" s="1"/>
  <c r="O216" i="18"/>
  <c r="K216" i="18"/>
  <c r="P215" i="18"/>
  <c r="S215" i="18" s="1"/>
  <c r="O215" i="18"/>
  <c r="K215" i="18"/>
  <c r="P214" i="18"/>
  <c r="S214" i="18" s="1"/>
  <c r="O214" i="18"/>
  <c r="K214" i="18"/>
  <c r="P213" i="18"/>
  <c r="O213" i="18"/>
  <c r="K213" i="18"/>
  <c r="P212" i="18"/>
  <c r="S212" i="18" s="1"/>
  <c r="O212" i="18"/>
  <c r="K212" i="18"/>
  <c r="P211" i="18"/>
  <c r="S211" i="18" s="1"/>
  <c r="O211" i="18"/>
  <c r="K211" i="18"/>
  <c r="P210" i="18"/>
  <c r="S210" i="18" s="1"/>
  <c r="O210" i="18"/>
  <c r="K210" i="18"/>
  <c r="P209" i="18"/>
  <c r="S209" i="18" s="1"/>
  <c r="O209" i="18"/>
  <c r="K209" i="18"/>
  <c r="P208" i="18"/>
  <c r="S208" i="18" s="1"/>
  <c r="O208" i="18"/>
  <c r="K208" i="18"/>
  <c r="P207" i="18"/>
  <c r="O207" i="18"/>
  <c r="K207" i="18"/>
  <c r="P206" i="18"/>
  <c r="S206" i="18" s="1"/>
  <c r="O206" i="18"/>
  <c r="K206" i="18"/>
  <c r="P205" i="18"/>
  <c r="S205" i="18" s="1"/>
  <c r="O205" i="18"/>
  <c r="K205" i="18"/>
  <c r="P204" i="18"/>
  <c r="S204" i="18" s="1"/>
  <c r="O204" i="18"/>
  <c r="K204" i="18"/>
  <c r="P203" i="18"/>
  <c r="S203" i="18" s="1"/>
  <c r="O203" i="18"/>
  <c r="K203" i="18"/>
  <c r="P202" i="18"/>
  <c r="S202" i="18" s="1"/>
  <c r="O202" i="18"/>
  <c r="K202" i="18"/>
  <c r="P201" i="18"/>
  <c r="O201" i="18"/>
  <c r="K201" i="18"/>
  <c r="P199" i="18"/>
  <c r="S199" i="18" s="1"/>
  <c r="P198" i="18"/>
  <c r="P197" i="18"/>
  <c r="P196" i="18"/>
  <c r="S196" i="18" s="1"/>
  <c r="P195" i="18"/>
  <c r="R375" i="18" s="1"/>
  <c r="P194" i="18"/>
  <c r="P193" i="18"/>
  <c r="S193" i="18" s="1"/>
  <c r="P192" i="18"/>
  <c r="P191" i="18"/>
  <c r="P190" i="18"/>
  <c r="P189" i="18"/>
  <c r="P188" i="18"/>
  <c r="S188" i="18" s="1"/>
  <c r="P187" i="18"/>
  <c r="S187" i="18" s="1"/>
  <c r="P186" i="18"/>
  <c r="S186" i="18" s="1"/>
  <c r="P185" i="18"/>
  <c r="S185" i="18" s="1"/>
  <c r="P184" i="18"/>
  <c r="S184" i="18" s="1"/>
  <c r="P183" i="18"/>
  <c r="P182" i="18"/>
  <c r="P181" i="18"/>
  <c r="P180" i="18"/>
  <c r="P179" i="18"/>
  <c r="S179" i="18" s="1"/>
  <c r="P178" i="18"/>
  <c r="P177" i="18"/>
  <c r="R357" i="18" s="1"/>
  <c r="P176" i="18"/>
  <c r="P175" i="18"/>
  <c r="P174" i="18"/>
  <c r="P173" i="18"/>
  <c r="P172" i="18"/>
  <c r="P171" i="18"/>
  <c r="P170" i="18"/>
  <c r="O170" i="18"/>
  <c r="K170" i="18"/>
  <c r="P169" i="18"/>
  <c r="K169" i="18"/>
  <c r="O169" i="18" s="1"/>
  <c r="P168" i="18"/>
  <c r="K168" i="18"/>
  <c r="O168" i="18" s="1"/>
  <c r="P167" i="18"/>
  <c r="S167" i="18" s="1"/>
  <c r="P166" i="18"/>
  <c r="O166" i="18"/>
  <c r="K166" i="18"/>
  <c r="P165" i="18"/>
  <c r="R345" i="18" s="1"/>
  <c r="S345" i="18" s="1"/>
  <c r="K165" i="18"/>
  <c r="O165" i="18" s="1"/>
  <c r="P164" i="18"/>
  <c r="O164" i="18"/>
  <c r="K164" i="18"/>
  <c r="P163" i="18"/>
  <c r="S163" i="18" s="1"/>
  <c r="P162" i="18"/>
  <c r="K162" i="18"/>
  <c r="O162" i="18" s="1"/>
  <c r="P161" i="18"/>
  <c r="K161" i="18"/>
  <c r="O161" i="18" s="1"/>
  <c r="P160" i="18"/>
  <c r="O160" i="18"/>
  <c r="K160" i="18"/>
  <c r="P159" i="18"/>
  <c r="P158" i="18"/>
  <c r="K158" i="18"/>
  <c r="O158" i="18" s="1"/>
  <c r="P157" i="18"/>
  <c r="P156" i="18"/>
  <c r="S156" i="18" s="1"/>
  <c r="P155" i="18"/>
  <c r="O155" i="18"/>
  <c r="K155" i="18"/>
  <c r="P154" i="18"/>
  <c r="K154" i="18"/>
  <c r="O154" i="18" s="1"/>
  <c r="P153" i="18"/>
  <c r="R333" i="18" s="1"/>
  <c r="S333" i="18" s="1"/>
  <c r="P152" i="18"/>
  <c r="P151" i="18"/>
  <c r="R273" i="18" s="1"/>
  <c r="O151" i="18"/>
  <c r="P150" i="18"/>
  <c r="S150" i="18" s="1"/>
  <c r="P149" i="18"/>
  <c r="O149" i="18"/>
  <c r="P148" i="18"/>
  <c r="P147" i="18"/>
  <c r="R327" i="18" s="1"/>
  <c r="S327" i="18" s="1"/>
  <c r="P146" i="18"/>
  <c r="R268" i="18" s="1"/>
  <c r="P145" i="18"/>
  <c r="O145" i="18"/>
  <c r="P144" i="18"/>
  <c r="S144" i="18" s="1"/>
  <c r="P143" i="18"/>
  <c r="P142" i="18"/>
  <c r="P141" i="18"/>
  <c r="S141" i="18" s="1"/>
  <c r="P140" i="18"/>
  <c r="P139" i="18"/>
  <c r="P138" i="18"/>
  <c r="S138" i="18" s="1"/>
  <c r="P137" i="18"/>
  <c r="S137" i="18" s="1"/>
  <c r="P136" i="18"/>
  <c r="S136" i="18" s="1"/>
  <c r="P135" i="18"/>
  <c r="S135" i="18" s="1"/>
  <c r="P134" i="18"/>
  <c r="S134" i="18" s="1"/>
  <c r="P133" i="18"/>
  <c r="S133" i="18" s="1"/>
  <c r="P132" i="18"/>
  <c r="S132" i="18" s="1"/>
  <c r="P131" i="18"/>
  <c r="S131" i="18" s="1"/>
  <c r="P130" i="18"/>
  <c r="S130" i="18" s="1"/>
  <c r="P129" i="18"/>
  <c r="S129" i="18" s="1"/>
  <c r="P121" i="18"/>
  <c r="S121" i="18" s="1"/>
  <c r="P120" i="18"/>
  <c r="S120" i="18" s="1"/>
  <c r="P119" i="18"/>
  <c r="S119" i="18" s="1"/>
  <c r="P118" i="18"/>
  <c r="S118" i="18" s="1"/>
  <c r="P117" i="18"/>
  <c r="S117" i="18" s="1"/>
  <c r="P115" i="18"/>
  <c r="S115" i="18" s="1"/>
  <c r="O115" i="18"/>
  <c r="K115" i="18"/>
  <c r="P114" i="18"/>
  <c r="S114" i="18" s="1"/>
  <c r="O114" i="18"/>
  <c r="K114" i="18"/>
  <c r="P113" i="18"/>
  <c r="S113" i="18" s="1"/>
  <c r="O113" i="18"/>
  <c r="K113" i="18"/>
  <c r="P112" i="18"/>
  <c r="S112" i="18" s="1"/>
  <c r="O112" i="18"/>
  <c r="K112" i="18"/>
  <c r="P111" i="18"/>
  <c r="S111" i="18" s="1"/>
  <c r="O111" i="18"/>
  <c r="K111" i="18"/>
  <c r="P110" i="18"/>
  <c r="S110" i="18" s="1"/>
  <c r="O110" i="18"/>
  <c r="K110" i="18"/>
  <c r="P109" i="18"/>
  <c r="S109" i="18" s="1"/>
  <c r="O109" i="18"/>
  <c r="K109" i="18"/>
  <c r="P108" i="18"/>
  <c r="S108" i="18" s="1"/>
  <c r="O108" i="18"/>
  <c r="K108" i="18"/>
  <c r="P107" i="18"/>
  <c r="S107" i="18" s="1"/>
  <c r="O107" i="18"/>
  <c r="K107" i="18"/>
  <c r="P106" i="18"/>
  <c r="S106" i="18" s="1"/>
  <c r="O106" i="18"/>
  <c r="K106" i="18"/>
  <c r="P105" i="18"/>
  <c r="S105" i="18" s="1"/>
  <c r="O105" i="18"/>
  <c r="K105" i="18"/>
  <c r="P104" i="18"/>
  <c r="S104" i="18" s="1"/>
  <c r="O104" i="18"/>
  <c r="K104" i="18"/>
  <c r="P103" i="18"/>
  <c r="S103" i="18" s="1"/>
  <c r="O103" i="18"/>
  <c r="K103" i="18"/>
  <c r="P102" i="18"/>
  <c r="S102" i="18" s="1"/>
  <c r="O102" i="18"/>
  <c r="K102" i="18"/>
  <c r="P101" i="18"/>
  <c r="S101" i="18" s="1"/>
  <c r="O101" i="18"/>
  <c r="K101" i="18"/>
  <c r="P100" i="18"/>
  <c r="S100" i="18" s="1"/>
  <c r="O100" i="18"/>
  <c r="K100" i="18"/>
  <c r="P99" i="18"/>
  <c r="S99" i="18" s="1"/>
  <c r="O99" i="18"/>
  <c r="K99" i="18"/>
  <c r="P98" i="18"/>
  <c r="S98" i="18" s="1"/>
  <c r="O98" i="18"/>
  <c r="K98" i="18"/>
  <c r="P97" i="18"/>
  <c r="S97" i="18" s="1"/>
  <c r="O97" i="18"/>
  <c r="K97" i="18"/>
  <c r="P96" i="18"/>
  <c r="S96" i="18" s="1"/>
  <c r="O96" i="18"/>
  <c r="K96" i="18"/>
  <c r="P95" i="18"/>
  <c r="S95" i="18" s="1"/>
  <c r="O95" i="18"/>
  <c r="K95" i="18"/>
  <c r="P94" i="18"/>
  <c r="S94" i="18" s="1"/>
  <c r="O94" i="18"/>
  <c r="K94" i="18"/>
  <c r="P93" i="18"/>
  <c r="S93" i="18" s="1"/>
  <c r="O93" i="18"/>
  <c r="K93" i="18"/>
  <c r="P92" i="18"/>
  <c r="S92" i="18" s="1"/>
  <c r="O92" i="18"/>
  <c r="K92" i="18"/>
  <c r="S91" i="18"/>
  <c r="P89" i="18"/>
  <c r="S89" i="18" s="1"/>
  <c r="J89" i="18"/>
  <c r="P88" i="18"/>
  <c r="S88" i="18" s="1"/>
  <c r="J88" i="18"/>
  <c r="P87" i="18"/>
  <c r="S87" i="18" s="1"/>
  <c r="J87" i="18"/>
  <c r="P86" i="18"/>
  <c r="S86" i="18" s="1"/>
  <c r="P85" i="18"/>
  <c r="S85" i="18" s="1"/>
  <c r="P84" i="18"/>
  <c r="S84" i="18" s="1"/>
  <c r="P83" i="18"/>
  <c r="S83" i="18" s="1"/>
  <c r="P82" i="18"/>
  <c r="S82" i="18" s="1"/>
  <c r="O82" i="18"/>
  <c r="P81" i="18"/>
  <c r="S81" i="18" s="1"/>
  <c r="P80" i="18"/>
  <c r="S80" i="18" s="1"/>
  <c r="P79" i="18"/>
  <c r="S79" i="18" s="1"/>
  <c r="P78" i="18"/>
  <c r="S78" i="18" s="1"/>
  <c r="P77" i="18"/>
  <c r="S77" i="18" s="1"/>
  <c r="O77" i="18"/>
  <c r="P73" i="18"/>
  <c r="S73" i="18" s="1"/>
  <c r="P72" i="18"/>
  <c r="S72" i="18" s="1"/>
  <c r="P71" i="18"/>
  <c r="S71" i="18" s="1"/>
  <c r="O71" i="18"/>
  <c r="P70" i="18"/>
  <c r="S70" i="18" s="1"/>
  <c r="P69" i="18"/>
  <c r="S69" i="18" s="1"/>
  <c r="P67" i="18"/>
  <c r="S67" i="18" s="1"/>
  <c r="K67" i="18"/>
  <c r="O67" i="18" s="1"/>
  <c r="P66" i="18"/>
  <c r="S66" i="18" s="1"/>
  <c r="K66" i="18"/>
  <c r="O66" i="18" s="1"/>
  <c r="P65" i="18"/>
  <c r="S65" i="18" s="1"/>
  <c r="K65" i="18"/>
  <c r="O65" i="18" s="1"/>
  <c r="P64" i="18"/>
  <c r="S64" i="18" s="1"/>
  <c r="O64" i="18"/>
  <c r="K64" i="18"/>
  <c r="P63" i="18"/>
  <c r="S63" i="18" s="1"/>
  <c r="O63" i="18"/>
  <c r="K63" i="18"/>
  <c r="P62" i="18"/>
  <c r="S62" i="18" s="1"/>
  <c r="K62" i="18"/>
  <c r="O62" i="18" s="1"/>
  <c r="P61" i="18"/>
  <c r="S61" i="18" s="1"/>
  <c r="O61" i="18"/>
  <c r="K61" i="18"/>
  <c r="P60" i="18"/>
  <c r="S60" i="18" s="1"/>
  <c r="O60" i="18"/>
  <c r="K60" i="18"/>
  <c r="P59" i="18"/>
  <c r="S59" i="18" s="1"/>
  <c r="K59" i="18"/>
  <c r="O59" i="18" s="1"/>
  <c r="P58" i="18"/>
  <c r="S58" i="18" s="1"/>
  <c r="K58" i="18"/>
  <c r="O58" i="18" s="1"/>
  <c r="P57" i="18"/>
  <c r="S57" i="18" s="1"/>
  <c r="K57" i="18"/>
  <c r="O57" i="18" s="1"/>
  <c r="P56" i="18"/>
  <c r="S56" i="18" s="1"/>
  <c r="O56" i="18"/>
  <c r="K56" i="18"/>
  <c r="P55" i="18"/>
  <c r="S55" i="18" s="1"/>
  <c r="O55" i="18"/>
  <c r="K55" i="18"/>
  <c r="P54" i="18"/>
  <c r="S54" i="18" s="1"/>
  <c r="O54" i="18"/>
  <c r="K54" i="18"/>
  <c r="P53" i="18"/>
  <c r="S53" i="18" s="1"/>
  <c r="O53" i="18"/>
  <c r="K53" i="18"/>
  <c r="P52" i="18"/>
  <c r="S52" i="18" s="1"/>
  <c r="O52" i="18"/>
  <c r="K52" i="18"/>
  <c r="P51" i="18"/>
  <c r="S51" i="18" s="1"/>
  <c r="K51" i="18"/>
  <c r="O51" i="18" s="1"/>
  <c r="P50" i="18"/>
  <c r="S50" i="18" s="1"/>
  <c r="K50" i="18"/>
  <c r="O50" i="18" s="1"/>
  <c r="P49" i="18"/>
  <c r="S49" i="18" s="1"/>
  <c r="K49" i="18"/>
  <c r="O49" i="18" s="1"/>
  <c r="P48" i="18"/>
  <c r="S48" i="18" s="1"/>
  <c r="O48" i="18"/>
  <c r="K48" i="18"/>
  <c r="P47" i="18"/>
  <c r="S47" i="18" s="1"/>
  <c r="O47" i="18"/>
  <c r="K47" i="18"/>
  <c r="P46" i="18"/>
  <c r="S46" i="18" s="1"/>
  <c r="O46" i="18"/>
  <c r="K46" i="18"/>
  <c r="P45" i="18"/>
  <c r="S45" i="18" s="1"/>
  <c r="O45" i="18"/>
  <c r="K45" i="18"/>
  <c r="P44" i="18"/>
  <c r="S44" i="18" s="1"/>
  <c r="O44" i="18"/>
  <c r="K44" i="18"/>
  <c r="P43" i="18"/>
  <c r="S43" i="18" s="1"/>
  <c r="K43" i="18"/>
  <c r="O43" i="18" s="1"/>
  <c r="P41" i="18"/>
  <c r="S41" i="18" s="1"/>
  <c r="P39" i="18"/>
  <c r="S39" i="18" s="1"/>
  <c r="O39" i="18"/>
  <c r="P38" i="18"/>
  <c r="S38" i="18" s="1"/>
  <c r="P37" i="18"/>
  <c r="S37" i="18" s="1"/>
  <c r="P36" i="18"/>
  <c r="S36" i="18" s="1"/>
  <c r="O36" i="18"/>
  <c r="P35" i="18"/>
  <c r="S35" i="18" s="1"/>
  <c r="P34" i="18"/>
  <c r="S34" i="18" s="1"/>
  <c r="O34" i="18"/>
  <c r="P33" i="18"/>
  <c r="S33" i="18" s="1"/>
  <c r="P32" i="18"/>
  <c r="S32" i="18" s="1"/>
  <c r="P31" i="18"/>
  <c r="S31" i="18" s="1"/>
  <c r="O31" i="18"/>
  <c r="P30" i="18"/>
  <c r="S30" i="18" s="1"/>
  <c r="O30" i="18"/>
  <c r="P29" i="18"/>
  <c r="S29" i="18" s="1"/>
  <c r="P28" i="18"/>
  <c r="S28" i="18" s="1"/>
  <c r="P27" i="18"/>
  <c r="S27" i="18" s="1"/>
  <c r="P26" i="18"/>
  <c r="S26" i="18" s="1"/>
  <c r="P25" i="18"/>
  <c r="S25" i="18" s="1"/>
  <c r="O25" i="18"/>
  <c r="P24" i="18"/>
  <c r="S24" i="18" s="1"/>
  <c r="P23" i="18"/>
  <c r="S23" i="18" s="1"/>
  <c r="O23" i="18"/>
  <c r="P22" i="18"/>
  <c r="S22" i="18" s="1"/>
  <c r="O22" i="18"/>
  <c r="P21" i="18"/>
  <c r="S21" i="18" s="1"/>
  <c r="P20" i="18"/>
  <c r="S20" i="18" s="1"/>
  <c r="P19" i="18"/>
  <c r="S19" i="18" s="1"/>
  <c r="K1952" i="18"/>
  <c r="O1952" i="18" s="1"/>
  <c r="K1968" i="18"/>
  <c r="O1968" i="18" s="1"/>
  <c r="K2016" i="18"/>
  <c r="O2016" i="18" s="1"/>
  <c r="K2024" i="18"/>
  <c r="O2024" i="18" s="1"/>
  <c r="K2040" i="18"/>
  <c r="O2040" i="18" s="1"/>
  <c r="K2056" i="18"/>
  <c r="O2056" i="18" s="1"/>
  <c r="K1803" i="18"/>
  <c r="O1803" i="18" s="1"/>
  <c r="K1960" i="18"/>
  <c r="O1960" i="18" s="1"/>
  <c r="K1992" i="18"/>
  <c r="O1992" i="18" s="1"/>
  <c r="K2008" i="18"/>
  <c r="O2008" i="18" s="1"/>
  <c r="K1783" i="18"/>
  <c r="O1783" i="18" s="1"/>
  <c r="K2032" i="18"/>
  <c r="O2032" i="18" s="1"/>
  <c r="K1972" i="18"/>
  <c r="O1972" i="18" s="1"/>
  <c r="K1822" i="18"/>
  <c r="O1822" i="18" s="1"/>
  <c r="K1818" i="18"/>
  <c r="O1818" i="18" s="1"/>
  <c r="K1814" i="18"/>
  <c r="O1814" i="18" s="1"/>
  <c r="K1810" i="18"/>
  <c r="O1810" i="18" s="1"/>
  <c r="K1806" i="18"/>
  <c r="O1806" i="18" s="1"/>
  <c r="K1817" i="18"/>
  <c r="O1817" i="18" s="1"/>
  <c r="K1811" i="18"/>
  <c r="O1811" i="18" s="1"/>
  <c r="K1821" i="18"/>
  <c r="O1821" i="18" s="1"/>
  <c r="K1805" i="18"/>
  <c r="O1805" i="18" s="1"/>
  <c r="K1815" i="18"/>
  <c r="O1815" i="18" s="1"/>
  <c r="K1809" i="18"/>
  <c r="O1809" i="18" s="1"/>
  <c r="K1819" i="18"/>
  <c r="O1819" i="18" s="1"/>
  <c r="K1984" i="18"/>
  <c r="O1984" i="18" s="1"/>
  <c r="K1813" i="18"/>
  <c r="O1813" i="18" s="1"/>
  <c r="K1767" i="18"/>
  <c r="O1767" i="18" s="1"/>
  <c r="K1823" i="18"/>
  <c r="O1823" i="18" s="1"/>
  <c r="K1757" i="18"/>
  <c r="O1757" i="18" s="1"/>
  <c r="K1755" i="18"/>
  <c r="O1755" i="18" s="1"/>
  <c r="K1807" i="18"/>
  <c r="O1807" i="18" s="1"/>
  <c r="K1754" i="18"/>
  <c r="O1754" i="18" s="1"/>
  <c r="K1944" i="18"/>
  <c r="O1944" i="18" s="1"/>
  <c r="K2000" i="18"/>
  <c r="O2000" i="18" s="1"/>
  <c r="K2048" i="18"/>
  <c r="O2048" i="18" s="1"/>
  <c r="K1761" i="18"/>
  <c r="O1761" i="18" s="1"/>
  <c r="K1769" i="18"/>
  <c r="O1769" i="18" s="1"/>
  <c r="K1976" i="18"/>
  <c r="O1976" i="18" s="1"/>
  <c r="K1758" i="18"/>
  <c r="O1758" i="18" s="1"/>
  <c r="K1766" i="18"/>
  <c r="O1766" i="18" s="1"/>
  <c r="S21" i="14"/>
  <c r="T19" i="14"/>
  <c r="A19" i="14"/>
  <c r="A18" i="14"/>
  <c r="A17" i="14"/>
  <c r="A16" i="14"/>
  <c r="J16" i="14" s="1"/>
  <c r="J39" i="14" s="1"/>
  <c r="A15" i="14"/>
  <c r="A14" i="14"/>
  <c r="I14" i="14" s="1"/>
  <c r="A13" i="14"/>
  <c r="I13" i="14" s="1"/>
  <c r="A12" i="14"/>
  <c r="A11" i="14"/>
  <c r="A10" i="14"/>
  <c r="A9" i="14"/>
  <c r="Q6" i="14"/>
  <c r="Q24" i="14" s="1"/>
  <c r="P6" i="14"/>
  <c r="P14" i="14" s="1"/>
  <c r="P18" i="14"/>
  <c r="P44" i="14" s="1"/>
  <c r="O6" i="14"/>
  <c r="O14" i="14" s="1"/>
  <c r="N6" i="14"/>
  <c r="N16" i="14" s="1"/>
  <c r="M6" i="14"/>
  <c r="M8" i="14" s="1"/>
  <c r="L6" i="14"/>
  <c r="L7" i="14" s="1"/>
  <c r="K6" i="14"/>
  <c r="K10" i="14" s="1"/>
  <c r="J6" i="14"/>
  <c r="I6" i="14"/>
  <c r="I24" i="14" s="1"/>
  <c r="H6" i="14"/>
  <c r="H17" i="14" s="1"/>
  <c r="G6" i="14"/>
  <c r="F6" i="14"/>
  <c r="F11" i="14" s="1"/>
  <c r="S4" i="14"/>
  <c r="K3" i="14"/>
  <c r="I3" i="14"/>
  <c r="M3" i="14" s="1"/>
  <c r="F7" i="14" s="1"/>
  <c r="F8" i="14" s="1"/>
  <c r="S129" i="13"/>
  <c r="A129" i="13"/>
  <c r="S128" i="13"/>
  <c r="A128" i="13"/>
  <c r="S127" i="13"/>
  <c r="A127" i="13"/>
  <c r="S126" i="13"/>
  <c r="A126" i="13"/>
  <c r="S125" i="13"/>
  <c r="A125" i="13"/>
  <c r="S124" i="13"/>
  <c r="A124" i="13"/>
  <c r="S123" i="13"/>
  <c r="A123" i="13"/>
  <c r="S122" i="13"/>
  <c r="A122" i="13"/>
  <c r="S121" i="13"/>
  <c r="A121" i="13"/>
  <c r="S120" i="13"/>
  <c r="A120" i="13"/>
  <c r="S119" i="13"/>
  <c r="A119" i="13"/>
  <c r="S116" i="13"/>
  <c r="A116" i="13"/>
  <c r="S115" i="13"/>
  <c r="A115" i="13"/>
  <c r="S114" i="13"/>
  <c r="A114" i="13"/>
  <c r="S113" i="13"/>
  <c r="A113" i="13"/>
  <c r="S112" i="13"/>
  <c r="A112" i="13"/>
  <c r="S111" i="13"/>
  <c r="A111" i="13"/>
  <c r="S110" i="13"/>
  <c r="A110" i="13"/>
  <c r="S109" i="13"/>
  <c r="A109" i="13"/>
  <c r="S108" i="13"/>
  <c r="A108" i="13"/>
  <c r="S107" i="13"/>
  <c r="A107" i="13"/>
  <c r="S106" i="13"/>
  <c r="A106" i="13"/>
  <c r="S103" i="13"/>
  <c r="A103" i="13"/>
  <c r="S102" i="13"/>
  <c r="A102" i="13"/>
  <c r="S101" i="13"/>
  <c r="A101" i="13"/>
  <c r="S100" i="13"/>
  <c r="A100" i="13"/>
  <c r="S99" i="13"/>
  <c r="A99" i="13"/>
  <c r="S98" i="13"/>
  <c r="A98" i="13"/>
  <c r="S97" i="13"/>
  <c r="A97" i="13"/>
  <c r="S96" i="13"/>
  <c r="A96" i="13"/>
  <c r="S95" i="13"/>
  <c r="A95" i="13"/>
  <c r="S94" i="13"/>
  <c r="A94" i="13"/>
  <c r="S93" i="13"/>
  <c r="A93" i="13"/>
  <c r="S90" i="13"/>
  <c r="A90" i="13"/>
  <c r="S89" i="13"/>
  <c r="A89" i="13"/>
  <c r="S88" i="13"/>
  <c r="A88" i="13"/>
  <c r="S87" i="13"/>
  <c r="A87" i="13"/>
  <c r="S86" i="13"/>
  <c r="A86" i="13"/>
  <c r="S85" i="13"/>
  <c r="A85" i="13"/>
  <c r="S84" i="13"/>
  <c r="A84" i="13"/>
  <c r="S83" i="13"/>
  <c r="A83" i="13"/>
  <c r="S82" i="13"/>
  <c r="A82" i="13"/>
  <c r="S81" i="13"/>
  <c r="A81" i="13"/>
  <c r="S80" i="13"/>
  <c r="A80" i="13"/>
  <c r="S77" i="13"/>
  <c r="A77" i="13"/>
  <c r="S76" i="13"/>
  <c r="A76" i="13"/>
  <c r="S75" i="13"/>
  <c r="A75" i="13"/>
  <c r="S74" i="13"/>
  <c r="A74" i="13"/>
  <c r="S73" i="13"/>
  <c r="A73" i="13"/>
  <c r="S72" i="13"/>
  <c r="A72" i="13"/>
  <c r="S71" i="13"/>
  <c r="A71" i="13"/>
  <c r="S70" i="13"/>
  <c r="A70" i="13"/>
  <c r="S69" i="13"/>
  <c r="A69" i="13"/>
  <c r="S68" i="13"/>
  <c r="A68" i="13"/>
  <c r="S67" i="13"/>
  <c r="A67" i="13"/>
  <c r="S64" i="13"/>
  <c r="A64" i="13"/>
  <c r="S63" i="13"/>
  <c r="A63" i="13"/>
  <c r="S62" i="13"/>
  <c r="A62" i="13"/>
  <c r="S61" i="13"/>
  <c r="A61" i="13"/>
  <c r="S60" i="13"/>
  <c r="A60" i="13"/>
  <c r="S59" i="13"/>
  <c r="A59" i="13"/>
  <c r="S58" i="13"/>
  <c r="A58" i="13"/>
  <c r="S57" i="13"/>
  <c r="A57" i="13"/>
  <c r="S56" i="13"/>
  <c r="A56" i="13"/>
  <c r="S55" i="13"/>
  <c r="A55" i="13"/>
  <c r="S54" i="13"/>
  <c r="A54" i="13"/>
  <c r="S51" i="13"/>
  <c r="A51" i="13"/>
  <c r="S50" i="13"/>
  <c r="A50" i="13"/>
  <c r="S49" i="13"/>
  <c r="A49" i="13"/>
  <c r="S48" i="13"/>
  <c r="A48" i="13"/>
  <c r="S47" i="13"/>
  <c r="A47" i="13"/>
  <c r="S46" i="13"/>
  <c r="A46" i="13"/>
  <c r="S45" i="13"/>
  <c r="A45" i="13"/>
  <c r="S44" i="13"/>
  <c r="A44" i="13"/>
  <c r="S43" i="13"/>
  <c r="A43" i="13"/>
  <c r="S42" i="13"/>
  <c r="A42" i="13"/>
  <c r="S41" i="13"/>
  <c r="A41" i="13"/>
  <c r="S38" i="13"/>
  <c r="A38" i="13"/>
  <c r="S37" i="13"/>
  <c r="A37" i="13"/>
  <c r="S36" i="13"/>
  <c r="A36" i="13"/>
  <c r="S35" i="13"/>
  <c r="A35" i="13"/>
  <c r="S34" i="13"/>
  <c r="A34" i="13"/>
  <c r="S33" i="13"/>
  <c r="A33" i="13"/>
  <c r="S32" i="13"/>
  <c r="A32" i="13"/>
  <c r="S31" i="13"/>
  <c r="A31" i="13"/>
  <c r="S30" i="13"/>
  <c r="A30" i="13"/>
  <c r="S29" i="13"/>
  <c r="A29" i="13"/>
  <c r="S28" i="13"/>
  <c r="A28" i="13"/>
  <c r="S25" i="13"/>
  <c r="A25" i="13"/>
  <c r="S24" i="13"/>
  <c r="A24" i="13"/>
  <c r="S23" i="13"/>
  <c r="A23" i="13"/>
  <c r="S22" i="13"/>
  <c r="A22" i="13"/>
  <c r="S21" i="13"/>
  <c r="A21" i="13"/>
  <c r="S20" i="13"/>
  <c r="A20" i="13"/>
  <c r="S19" i="13"/>
  <c r="A19" i="13"/>
  <c r="S18" i="13"/>
  <c r="A18" i="13"/>
  <c r="S17" i="13"/>
  <c r="A17" i="13"/>
  <c r="S16" i="13"/>
  <c r="A16" i="13"/>
  <c r="S15" i="13"/>
  <c r="A15" i="13"/>
  <c r="S12" i="13"/>
  <c r="A12" i="13"/>
  <c r="S11" i="13"/>
  <c r="A11" i="13"/>
  <c r="S10" i="13"/>
  <c r="A10" i="13"/>
  <c r="S9" i="13"/>
  <c r="A9" i="13"/>
  <c r="S8" i="13"/>
  <c r="A8" i="13"/>
  <c r="S7" i="13"/>
  <c r="A7" i="13"/>
  <c r="S6" i="13"/>
  <c r="A6" i="13"/>
  <c r="S5" i="13"/>
  <c r="A5" i="13"/>
  <c r="S4" i="13"/>
  <c r="A4" i="13"/>
  <c r="S3" i="13"/>
  <c r="A3" i="13"/>
  <c r="S2" i="13"/>
  <c r="S131" i="13"/>
  <c r="A2" i="13"/>
  <c r="N7" i="14"/>
  <c r="N15" i="14"/>
  <c r="N38" i="14" s="1"/>
  <c r="K12" i="14"/>
  <c r="K31" i="14" s="1"/>
  <c r="J12" i="14"/>
  <c r="J31" i="14" s="1"/>
  <c r="Q7" i="14"/>
  <c r="L13" i="14"/>
  <c r="L33" i="14" s="1"/>
  <c r="N13" i="14"/>
  <c r="N34" i="14" s="1"/>
  <c r="Q10" i="14"/>
  <c r="Q28" i="14" s="1"/>
  <c r="J24" i="14"/>
  <c r="L24" i="14"/>
  <c r="T11" i="14"/>
  <c r="J19" i="14"/>
  <c r="J46" i="14" s="1"/>
  <c r="H9" i="14"/>
  <c r="H25" i="14" s="1"/>
  <c r="J17" i="14"/>
  <c r="J9" i="14"/>
  <c r="M15" i="14"/>
  <c r="M37" i="14" s="1"/>
  <c r="M16" i="14"/>
  <c r="M17" i="14"/>
  <c r="M41" i="14" s="1"/>
  <c r="M9" i="14"/>
  <c r="M18" i="14"/>
  <c r="M43" i="14" s="1"/>
  <c r="M10" i="14"/>
  <c r="M28" i="14" s="1"/>
  <c r="M7" i="14"/>
  <c r="M24" i="14"/>
  <c r="M19" i="14"/>
  <c r="M45" i="14" s="1"/>
  <c r="M11" i="14"/>
  <c r="M13" i="14"/>
  <c r="M33" i="14" s="1"/>
  <c r="Q27" i="14"/>
  <c r="M12" i="14"/>
  <c r="M31" i="14" s="1"/>
  <c r="M14" i="14"/>
  <c r="T17" i="14"/>
  <c r="T12" i="14"/>
  <c r="T13" i="14"/>
  <c r="T14" i="14"/>
  <c r="T15" i="14"/>
  <c r="T16" i="14"/>
  <c r="T18" i="14"/>
  <c r="T10" i="14"/>
  <c r="G24" i="14"/>
  <c r="G19" i="14"/>
  <c r="G45" i="14" s="1"/>
  <c r="O18" i="14"/>
  <c r="O43" i="14" s="1"/>
  <c r="O15" i="14"/>
  <c r="O37" i="14" s="1"/>
  <c r="T9" i="14"/>
  <c r="J11" i="14"/>
  <c r="N8" i="14"/>
  <c r="J10" i="14"/>
  <c r="J27" i="14" s="1"/>
  <c r="N14" i="14"/>
  <c r="N36" i="14" s="1"/>
  <c r="P16" i="14"/>
  <c r="P39" i="14" s="1"/>
  <c r="I17" i="14"/>
  <c r="I41" i="14" s="1"/>
  <c r="J18" i="14"/>
  <c r="J44" i="14" s="1"/>
  <c r="N12" i="14"/>
  <c r="N32" i="14" s="1"/>
  <c r="I15" i="14"/>
  <c r="I38" i="14" s="1"/>
  <c r="Q15" i="14"/>
  <c r="Q37" i="14" s="1"/>
  <c r="N11" i="14"/>
  <c r="N30" i="14" s="1"/>
  <c r="Q14" i="14"/>
  <c r="Q35" i="14" s="1"/>
  <c r="J15" i="14"/>
  <c r="J38" i="14" s="1"/>
  <c r="K16" i="14"/>
  <c r="K39" i="14" s="1"/>
  <c r="N19" i="14"/>
  <c r="N45" i="14" s="1"/>
  <c r="N24" i="14"/>
  <c r="N10" i="14"/>
  <c r="N27" i="14" s="1"/>
  <c r="N18" i="14"/>
  <c r="N43" i="14" s="1"/>
  <c r="N9" i="14"/>
  <c r="N25" i="14" s="1"/>
  <c r="N17" i="14"/>
  <c r="H24" i="14"/>
  <c r="P24" i="14"/>
  <c r="P7" i="14"/>
  <c r="Q11" i="14"/>
  <c r="Q29" i="14" s="1"/>
  <c r="Q19" i="14"/>
  <c r="Q45" i="14" s="1"/>
  <c r="L34" i="14"/>
  <c r="J30" i="14"/>
  <c r="J29" i="14"/>
  <c r="N35" i="14"/>
  <c r="T21" i="14"/>
  <c r="H26" i="14"/>
  <c r="P40" i="14"/>
  <c r="N29" i="14"/>
  <c r="T4" i="14"/>
  <c r="M35" i="14"/>
  <c r="M36" i="14"/>
  <c r="J41" i="14"/>
  <c r="J42" i="14"/>
  <c r="M25" i="14"/>
  <c r="M26" i="14"/>
  <c r="M38" i="14"/>
  <c r="M42" i="14"/>
  <c r="N26" i="14"/>
  <c r="J43" i="14"/>
  <c r="J25" i="14"/>
  <c r="J26" i="14"/>
  <c r="N42" i="14"/>
  <c r="N41" i="14"/>
  <c r="J37" i="14"/>
  <c r="J28" i="14"/>
  <c r="M29" i="14"/>
  <c r="M30" i="14"/>
  <c r="M39" i="14"/>
  <c r="M40" i="14"/>
  <c r="S21" i="12"/>
  <c r="A19" i="12"/>
  <c r="A18" i="12"/>
  <c r="H18" i="12" s="1"/>
  <c r="A17" i="12"/>
  <c r="A16" i="12"/>
  <c r="F16" i="12" s="1"/>
  <c r="A15" i="12"/>
  <c r="F15" i="12" s="1"/>
  <c r="A14" i="12"/>
  <c r="F14" i="12" s="1"/>
  <c r="A13" i="12"/>
  <c r="H13" i="12" s="1"/>
  <c r="A12" i="12"/>
  <c r="F12" i="12" s="1"/>
  <c r="A11" i="12"/>
  <c r="F11" i="12" s="1"/>
  <c r="A10" i="12"/>
  <c r="H10" i="12" s="1"/>
  <c r="A9" i="12"/>
  <c r="H9" i="12" s="1"/>
  <c r="Q6" i="12"/>
  <c r="Q24" i="12"/>
  <c r="P6" i="12"/>
  <c r="P18" i="12"/>
  <c r="O6" i="12"/>
  <c r="O13" i="12" s="1"/>
  <c r="N6" i="12"/>
  <c r="N16" i="12" s="1"/>
  <c r="M6" i="12"/>
  <c r="M13" i="12" s="1"/>
  <c r="L6" i="12"/>
  <c r="L13" i="12" s="1"/>
  <c r="K6" i="12"/>
  <c r="K24" i="12"/>
  <c r="J6" i="12"/>
  <c r="J24" i="12"/>
  <c r="I6" i="12"/>
  <c r="I24" i="12"/>
  <c r="H6" i="12"/>
  <c r="G6" i="12"/>
  <c r="F6" i="12"/>
  <c r="T3" i="12"/>
  <c r="K3" i="12"/>
  <c r="I3" i="12"/>
  <c r="M3" i="12" s="1"/>
  <c r="F7" i="12" s="1"/>
  <c r="F8" i="12" s="1"/>
  <c r="S129" i="10"/>
  <c r="A129" i="10"/>
  <c r="S128" i="10"/>
  <c r="A128" i="10"/>
  <c r="S127" i="10"/>
  <c r="A127" i="10"/>
  <c r="S126" i="10"/>
  <c r="A126" i="10"/>
  <c r="S125" i="10"/>
  <c r="A125" i="10"/>
  <c r="S124" i="10"/>
  <c r="A124" i="10"/>
  <c r="S123" i="10"/>
  <c r="A123" i="10"/>
  <c r="S122" i="10"/>
  <c r="A122" i="10"/>
  <c r="S121" i="10"/>
  <c r="A121" i="10"/>
  <c r="S120" i="10"/>
  <c r="A120" i="10"/>
  <c r="S119" i="10"/>
  <c r="A119" i="10"/>
  <c r="S116" i="10"/>
  <c r="A116" i="10"/>
  <c r="S115" i="10"/>
  <c r="A115" i="10"/>
  <c r="S114" i="10"/>
  <c r="A114" i="10"/>
  <c r="S113" i="10"/>
  <c r="A113" i="10"/>
  <c r="S112" i="10"/>
  <c r="A112" i="10"/>
  <c r="S111" i="10"/>
  <c r="A111" i="10"/>
  <c r="S110" i="10"/>
  <c r="A110" i="10"/>
  <c r="S109" i="10"/>
  <c r="A109" i="10"/>
  <c r="S108" i="10"/>
  <c r="A108" i="10"/>
  <c r="S107" i="10"/>
  <c r="A107" i="10"/>
  <c r="S106" i="10"/>
  <c r="A106" i="10"/>
  <c r="S103" i="10"/>
  <c r="A103" i="10"/>
  <c r="S102" i="10"/>
  <c r="A102" i="10"/>
  <c r="S101" i="10"/>
  <c r="A101" i="10"/>
  <c r="S100" i="10"/>
  <c r="A100" i="10"/>
  <c r="S99" i="10"/>
  <c r="A99" i="10"/>
  <c r="S98" i="10"/>
  <c r="A98" i="10"/>
  <c r="S97" i="10"/>
  <c r="A97" i="10"/>
  <c r="S96" i="10"/>
  <c r="A96" i="10"/>
  <c r="S95" i="10"/>
  <c r="A95" i="10"/>
  <c r="S94" i="10"/>
  <c r="A94" i="10"/>
  <c r="S93" i="10"/>
  <c r="A93" i="10"/>
  <c r="S90" i="10"/>
  <c r="A90" i="10"/>
  <c r="S89" i="10"/>
  <c r="A89" i="10"/>
  <c r="S88" i="10"/>
  <c r="A88" i="10"/>
  <c r="S87" i="10"/>
  <c r="A87" i="10"/>
  <c r="S86" i="10"/>
  <c r="A86" i="10"/>
  <c r="S85" i="10"/>
  <c r="A85" i="10"/>
  <c r="S84" i="10"/>
  <c r="A84" i="10"/>
  <c r="S83" i="10"/>
  <c r="A83" i="10"/>
  <c r="S82" i="10"/>
  <c r="A82" i="10"/>
  <c r="S81" i="10"/>
  <c r="A81" i="10"/>
  <c r="S80" i="10"/>
  <c r="A80" i="10"/>
  <c r="S77" i="10"/>
  <c r="A77" i="10"/>
  <c r="S76" i="10"/>
  <c r="A76" i="10"/>
  <c r="S75" i="10"/>
  <c r="A75" i="10"/>
  <c r="S74" i="10"/>
  <c r="A74" i="10"/>
  <c r="S73" i="10"/>
  <c r="A73" i="10"/>
  <c r="S72" i="10"/>
  <c r="A72" i="10"/>
  <c r="S71" i="10"/>
  <c r="A71" i="10"/>
  <c r="S70" i="10"/>
  <c r="A70" i="10"/>
  <c r="S69" i="10"/>
  <c r="A69" i="10"/>
  <c r="S68" i="10"/>
  <c r="A68" i="10"/>
  <c r="S67" i="10"/>
  <c r="A67" i="10"/>
  <c r="S64" i="10"/>
  <c r="A64" i="10"/>
  <c r="S63" i="10"/>
  <c r="A63" i="10"/>
  <c r="S62" i="10"/>
  <c r="A62" i="10"/>
  <c r="S61" i="10"/>
  <c r="A61" i="10"/>
  <c r="S60" i="10"/>
  <c r="A60" i="10"/>
  <c r="S59" i="10"/>
  <c r="A59" i="10"/>
  <c r="S58" i="10"/>
  <c r="A58" i="10"/>
  <c r="S57" i="10"/>
  <c r="A57" i="10"/>
  <c r="S56" i="10"/>
  <c r="A56" i="10"/>
  <c r="S55" i="10"/>
  <c r="A55" i="10"/>
  <c r="S54" i="10"/>
  <c r="A54" i="10"/>
  <c r="S51" i="10"/>
  <c r="A51" i="10"/>
  <c r="S50" i="10"/>
  <c r="A50" i="10"/>
  <c r="S49" i="10"/>
  <c r="A49" i="10"/>
  <c r="S48" i="10"/>
  <c r="A48" i="10"/>
  <c r="S47" i="10"/>
  <c r="A47" i="10"/>
  <c r="S46" i="10"/>
  <c r="A46" i="10"/>
  <c r="S45" i="10"/>
  <c r="A45" i="10"/>
  <c r="S44" i="10"/>
  <c r="A44" i="10"/>
  <c r="S43" i="10"/>
  <c r="A43" i="10"/>
  <c r="S42" i="10"/>
  <c r="A42" i="10"/>
  <c r="S41" i="10"/>
  <c r="A41" i="10"/>
  <c r="S38" i="10"/>
  <c r="A38" i="10"/>
  <c r="S37" i="10"/>
  <c r="A37" i="10"/>
  <c r="S36" i="10"/>
  <c r="A36" i="10"/>
  <c r="S35" i="10"/>
  <c r="A35" i="10"/>
  <c r="S34" i="10"/>
  <c r="A34" i="10"/>
  <c r="S33" i="10"/>
  <c r="A33" i="10"/>
  <c r="S32" i="10"/>
  <c r="A32" i="10"/>
  <c r="S31" i="10"/>
  <c r="A31" i="10"/>
  <c r="S30" i="10"/>
  <c r="A30" i="10"/>
  <c r="S29" i="10"/>
  <c r="A29" i="10"/>
  <c r="S28" i="10"/>
  <c r="A28" i="10"/>
  <c r="S25" i="10"/>
  <c r="A25" i="10"/>
  <c r="S24" i="10"/>
  <c r="A24" i="10"/>
  <c r="S23" i="10"/>
  <c r="A23" i="10"/>
  <c r="S22" i="10"/>
  <c r="A22" i="10"/>
  <c r="S21" i="10"/>
  <c r="A21" i="10"/>
  <c r="S20" i="10"/>
  <c r="A20" i="10"/>
  <c r="S19" i="10"/>
  <c r="A19" i="10"/>
  <c r="S18" i="10"/>
  <c r="A18" i="10"/>
  <c r="S17" i="10"/>
  <c r="A17" i="10"/>
  <c r="S16" i="10"/>
  <c r="A16" i="10"/>
  <c r="S15" i="10"/>
  <c r="A15" i="10"/>
  <c r="S12" i="10"/>
  <c r="A12" i="10"/>
  <c r="S11" i="10"/>
  <c r="A11" i="10"/>
  <c r="S10" i="10"/>
  <c r="A10" i="10"/>
  <c r="S9" i="10"/>
  <c r="A9" i="10"/>
  <c r="S8" i="10"/>
  <c r="A8" i="10"/>
  <c r="S7" i="10"/>
  <c r="A7" i="10"/>
  <c r="S6" i="10"/>
  <c r="A6" i="10"/>
  <c r="S5" i="10"/>
  <c r="A5" i="10"/>
  <c r="S4" i="10"/>
  <c r="A4" i="10"/>
  <c r="J19" i="12"/>
  <c r="S3" i="10"/>
  <c r="A3" i="10"/>
  <c r="S2" i="10"/>
  <c r="A2" i="10"/>
  <c r="N14" i="12"/>
  <c r="N36" i="12" s="1"/>
  <c r="P17" i="12"/>
  <c r="P12" i="12"/>
  <c r="S131" i="10"/>
  <c r="P11" i="12"/>
  <c r="P13" i="12"/>
  <c r="P9" i="12"/>
  <c r="Q9" i="12"/>
  <c r="Q18" i="12"/>
  <c r="P16" i="12"/>
  <c r="Q10" i="12"/>
  <c r="Q17" i="12"/>
  <c r="Q7" i="12"/>
  <c r="I18" i="12"/>
  <c r="K11" i="12"/>
  <c r="K19" i="12"/>
  <c r="I10" i="12"/>
  <c r="L18" i="12"/>
  <c r="L44" i="12" s="1"/>
  <c r="J10" i="12"/>
  <c r="L17" i="12"/>
  <c r="L9" i="12"/>
  <c r="J12" i="12"/>
  <c r="J18" i="12"/>
  <c r="K13" i="12"/>
  <c r="I9" i="12"/>
  <c r="I17" i="12"/>
  <c r="M15" i="12"/>
  <c r="M16" i="12"/>
  <c r="M17" i="12"/>
  <c r="M18" i="12"/>
  <c r="M24" i="12"/>
  <c r="M11" i="12"/>
  <c r="K12" i="12"/>
  <c r="F42" i="12"/>
  <c r="F24" i="12"/>
  <c r="N9" i="12"/>
  <c r="N18" i="12"/>
  <c r="N7" i="12"/>
  <c r="N24" i="12"/>
  <c r="N19" i="12"/>
  <c r="N12" i="12"/>
  <c r="N13" i="12"/>
  <c r="J11" i="12"/>
  <c r="L12" i="12"/>
  <c r="L7" i="12"/>
  <c r="M7" i="12"/>
  <c r="M8" i="12"/>
  <c r="O8" i="12"/>
  <c r="J9" i="12"/>
  <c r="K10" i="12"/>
  <c r="K28" i="12" s="1"/>
  <c r="L11" i="12"/>
  <c r="P15" i="12"/>
  <c r="I16" i="12"/>
  <c r="Q16" i="12"/>
  <c r="J17" i="12"/>
  <c r="J42" i="12" s="1"/>
  <c r="K18" i="12"/>
  <c r="L19" i="12"/>
  <c r="P8" i="12"/>
  <c r="K9" i="12"/>
  <c r="P14" i="12"/>
  <c r="P36" i="12" s="1"/>
  <c r="I15" i="12"/>
  <c r="I38" i="12" s="1"/>
  <c r="Q15" i="12"/>
  <c r="J16" i="12"/>
  <c r="J40" i="12" s="1"/>
  <c r="K17" i="12"/>
  <c r="P32" i="12"/>
  <c r="Q8" i="12"/>
  <c r="I14" i="12"/>
  <c r="Q14" i="12"/>
  <c r="Q36" i="12" s="1"/>
  <c r="J15" i="12"/>
  <c r="J38" i="12" s="1"/>
  <c r="K16" i="12"/>
  <c r="I13" i="12"/>
  <c r="Q13" i="12"/>
  <c r="J14" i="12"/>
  <c r="K15" i="12"/>
  <c r="O19" i="12"/>
  <c r="O46" i="12" s="1"/>
  <c r="O24" i="12"/>
  <c r="P30" i="12"/>
  <c r="I12" i="12"/>
  <c r="Q12" i="12"/>
  <c r="J13" i="12"/>
  <c r="J34" i="12" s="1"/>
  <c r="K14" i="12"/>
  <c r="H46" i="12"/>
  <c r="P19" i="12"/>
  <c r="H24" i="12"/>
  <c r="P24" i="12"/>
  <c r="P7" i="12"/>
  <c r="P10" i="12"/>
  <c r="P28" i="12" s="1"/>
  <c r="I11" i="12"/>
  <c r="I30" i="12" s="1"/>
  <c r="Q11" i="12"/>
  <c r="I19" i="12"/>
  <c r="Q19" i="12"/>
  <c r="J28" i="12"/>
  <c r="G36" i="12"/>
  <c r="K26" i="12"/>
  <c r="L42" i="12"/>
  <c r="I46" i="12"/>
  <c r="M30" i="12"/>
  <c r="M40" i="12"/>
  <c r="I34" i="12"/>
  <c r="Q40" i="12"/>
  <c r="Q30" i="12"/>
  <c r="K36" i="12"/>
  <c r="K40" i="12"/>
  <c r="J30" i="12"/>
  <c r="M38" i="12"/>
  <c r="N32" i="12"/>
  <c r="G26" i="12"/>
  <c r="K34" i="12"/>
  <c r="Q46" i="12"/>
  <c r="H40" i="12"/>
  <c r="I36" i="12"/>
  <c r="N26" i="12"/>
  <c r="J26" i="12"/>
  <c r="G46" i="12"/>
  <c r="Q38" i="12"/>
  <c r="Q32" i="12"/>
  <c r="I42" i="12"/>
  <c r="I28" i="12"/>
  <c r="I32" i="12"/>
  <c r="J32" i="12"/>
  <c r="G42" i="12"/>
  <c r="H36" i="12"/>
  <c r="M44" i="12"/>
  <c r="L26" i="12"/>
  <c r="K46" i="12"/>
  <c r="F17" i="7"/>
  <c r="G6" i="7" s="1"/>
  <c r="G5" i="7"/>
  <c r="G15" i="7"/>
  <c r="G13" i="7"/>
  <c r="G12" i="7"/>
  <c r="G10" i="7"/>
  <c r="N44" i="12" l="1"/>
  <c r="P42" i="12"/>
  <c r="M42" i="12"/>
  <c r="L32" i="12"/>
  <c r="I26" i="12"/>
  <c r="T14" i="12"/>
  <c r="S2" i="12"/>
  <c r="S4" i="12" s="1"/>
  <c r="T2" i="12" s="1"/>
  <c r="T13" i="12"/>
  <c r="G14" i="7"/>
  <c r="G9" i="7"/>
  <c r="G11" i="7"/>
  <c r="G8" i="7"/>
  <c r="G7" i="7"/>
  <c r="K2579" i="18"/>
  <c r="K91" i="18"/>
  <c r="O91" i="18" s="1"/>
  <c r="K40" i="18"/>
  <c r="K84" i="18"/>
  <c r="K36" i="18"/>
  <c r="K86" i="18"/>
  <c r="K80" i="18"/>
  <c r="K37" i="18"/>
  <c r="K31" i="18"/>
  <c r="K79" i="18"/>
  <c r="K20" i="18"/>
  <c r="K25" i="18"/>
  <c r="K30" i="18"/>
  <c r="K35" i="18"/>
  <c r="K34" i="18"/>
  <c r="K78" i="18"/>
  <c r="K39" i="18"/>
  <c r="K85" i="18"/>
  <c r="K22" i="18"/>
  <c r="K76" i="18"/>
  <c r="K83" i="18"/>
  <c r="K23" i="18"/>
  <c r="K77" i="18"/>
  <c r="K24" i="18"/>
  <c r="K29" i="18"/>
  <c r="K32" i="18"/>
  <c r="K28" i="18"/>
  <c r="K38" i="18"/>
  <c r="K27" i="18"/>
  <c r="K19" i="18"/>
  <c r="K26" i="18"/>
  <c r="K82" i="18"/>
  <c r="K75" i="18"/>
  <c r="K69" i="18"/>
  <c r="K81" i="18"/>
  <c r="K41" i="18"/>
  <c r="K33" i="18"/>
  <c r="K70" i="18"/>
  <c r="K21" i="18"/>
  <c r="K324" i="18"/>
  <c r="O324" i="18" s="1"/>
  <c r="K332" i="18"/>
  <c r="O332" i="18" s="1"/>
  <c r="K331" i="18"/>
  <c r="O331" i="18" s="1"/>
  <c r="K330" i="18"/>
  <c r="O330" i="18" s="1"/>
  <c r="K326" i="18"/>
  <c r="O326" i="18" s="1"/>
  <c r="K323" i="18"/>
  <c r="O323" i="18" s="1"/>
  <c r="K325" i="18"/>
  <c r="O325" i="18" s="1"/>
  <c r="K329" i="18"/>
  <c r="O329" i="18" s="1"/>
  <c r="K320" i="18"/>
  <c r="K319" i="18"/>
  <c r="K318" i="18"/>
  <c r="K317" i="18"/>
  <c r="K307" i="18"/>
  <c r="K314" i="18"/>
  <c r="K313" i="18"/>
  <c r="K311" i="18"/>
  <c r="O311" i="18" s="1"/>
  <c r="K312" i="18"/>
  <c r="O312" i="18" s="1"/>
  <c r="K308" i="18"/>
  <c r="K306" i="18"/>
  <c r="K305" i="18"/>
  <c r="K1977" i="18"/>
  <c r="O1977" i="18" s="1"/>
  <c r="K1941" i="18"/>
  <c r="O1941" i="18" s="1"/>
  <c r="K1801" i="18"/>
  <c r="O1801" i="18" s="1"/>
  <c r="K1698" i="18"/>
  <c r="O1698" i="18" s="1"/>
  <c r="K644" i="18"/>
  <c r="O644" i="18" s="1"/>
  <c r="K607" i="18"/>
  <c r="O607" i="18" s="1"/>
  <c r="K566" i="18"/>
  <c r="O566" i="18" s="1"/>
  <c r="K267" i="18"/>
  <c r="K257" i="18"/>
  <c r="O257" i="18" s="1"/>
  <c r="K197" i="18"/>
  <c r="K1832" i="18"/>
  <c r="O1832" i="18" s="1"/>
  <c r="K1655" i="18"/>
  <c r="O1655" i="18" s="1"/>
  <c r="K187" i="18"/>
  <c r="K640" i="18"/>
  <c r="O640" i="18" s="1"/>
  <c r="K485" i="18"/>
  <c r="O485" i="18" s="1"/>
  <c r="K227" i="18"/>
  <c r="O227" i="18" s="1"/>
  <c r="K535" i="18"/>
  <c r="O535" i="18" s="1"/>
  <c r="K1926" i="18"/>
  <c r="O1926" i="18" s="1"/>
  <c r="K1808" i="18"/>
  <c r="O1808" i="18" s="1"/>
  <c r="K1859" i="18"/>
  <c r="O1859" i="18" s="1"/>
  <c r="K1836" i="18"/>
  <c r="O1836" i="18" s="1"/>
  <c r="K879" i="18"/>
  <c r="O879" i="18" s="1"/>
  <c r="K1318" i="18"/>
  <c r="O1318" i="18" s="1"/>
  <c r="K853" i="18"/>
  <c r="O853" i="18" s="1"/>
  <c r="K832" i="18"/>
  <c r="O832" i="18" s="1"/>
  <c r="K942" i="18"/>
  <c r="O942" i="18" s="1"/>
  <c r="K1748" i="18"/>
  <c r="O1748" i="18" s="1"/>
  <c r="K1689" i="18"/>
  <c r="O1689" i="18" s="1"/>
  <c r="K956" i="18"/>
  <c r="O956" i="18" s="1"/>
  <c r="K537" i="18"/>
  <c r="O537" i="18" s="1"/>
  <c r="K962" i="18"/>
  <c r="O962" i="18" s="1"/>
  <c r="K873" i="18"/>
  <c r="O873" i="18" s="1"/>
  <c r="K1745" i="18"/>
  <c r="O1745" i="18" s="1"/>
  <c r="K811" i="18"/>
  <c r="O811" i="18" s="1"/>
  <c r="K842" i="18"/>
  <c r="O842" i="18" s="1"/>
  <c r="K1734" i="18"/>
  <c r="O1734" i="18" s="1"/>
  <c r="K1753" i="18"/>
  <c r="O1753" i="18" s="1"/>
  <c r="K860" i="18"/>
  <c r="O860" i="18" s="1"/>
  <c r="K833" i="18"/>
  <c r="O833" i="18" s="1"/>
  <c r="K1795" i="18"/>
  <c r="O1795" i="18" s="1"/>
  <c r="K1957" i="18"/>
  <c r="O1957" i="18" s="1"/>
  <c r="K660" i="18"/>
  <c r="O660" i="18" s="1"/>
  <c r="K543" i="18"/>
  <c r="O543" i="18" s="1"/>
  <c r="K355" i="18"/>
  <c r="O355" i="18" s="1"/>
  <c r="K255" i="18"/>
  <c r="O255" i="18" s="1"/>
  <c r="K148" i="18"/>
  <c r="O148" i="18" s="1"/>
  <c r="K139" i="18"/>
  <c r="K259" i="18"/>
  <c r="O259" i="18" s="1"/>
  <c r="K150" i="18"/>
  <c r="K1870" i="18"/>
  <c r="O1870" i="18" s="1"/>
  <c r="K847" i="18"/>
  <c r="O847" i="18" s="1"/>
  <c r="K821" i="18"/>
  <c r="O821" i="18" s="1"/>
  <c r="K807" i="18"/>
  <c r="O807" i="18" s="1"/>
  <c r="K583" i="18"/>
  <c r="O583" i="18" s="1"/>
  <c r="K937" i="18"/>
  <c r="O937" i="18" s="1"/>
  <c r="K858" i="18"/>
  <c r="O858" i="18" s="1"/>
  <c r="K2037" i="18"/>
  <c r="O2037" i="18" s="1"/>
  <c r="K1993" i="18"/>
  <c r="O1993" i="18" s="1"/>
  <c r="K1985" i="18"/>
  <c r="O1985" i="18" s="1"/>
  <c r="K1788" i="18"/>
  <c r="O1788" i="18" s="1"/>
  <c r="K1779" i="18"/>
  <c r="O1779" i="18" s="1"/>
  <c r="K1666" i="18"/>
  <c r="O1666" i="18" s="1"/>
  <c r="K944" i="18"/>
  <c r="O944" i="18" s="1"/>
  <c r="K872" i="18"/>
  <c r="O872" i="18" s="1"/>
  <c r="K800" i="18"/>
  <c r="O800" i="18" s="1"/>
  <c r="K643" i="18"/>
  <c r="O643" i="18" s="1"/>
  <c r="K548" i="18"/>
  <c r="O548" i="18" s="1"/>
  <c r="K443" i="18"/>
  <c r="O443" i="18" s="1"/>
  <c r="K385" i="18"/>
  <c r="K366" i="18"/>
  <c r="O366" i="18" s="1"/>
  <c r="K346" i="18"/>
  <c r="O346" i="18" s="1"/>
  <c r="K296" i="18"/>
  <c r="K275" i="18"/>
  <c r="K147" i="18"/>
  <c r="K179" i="18"/>
  <c r="K352" i="18"/>
  <c r="O352" i="18" s="1"/>
  <c r="K289" i="18"/>
  <c r="O289" i="18" s="1"/>
  <c r="K883" i="18"/>
  <c r="O883" i="18" s="1"/>
  <c r="K534" i="18"/>
  <c r="O534" i="18" s="1"/>
  <c r="K254" i="18"/>
  <c r="O254" i="18" s="1"/>
  <c r="K576" i="18"/>
  <c r="O576" i="18" s="1"/>
  <c r="K1922" i="18"/>
  <c r="O1922" i="18" s="1"/>
  <c r="K1933" i="18"/>
  <c r="O1933" i="18" s="1"/>
  <c r="K1853" i="18"/>
  <c r="O1853" i="18" s="1"/>
  <c r="K1738" i="18"/>
  <c r="O1738" i="18" s="1"/>
  <c r="K871" i="18"/>
  <c r="O871" i="18" s="1"/>
  <c r="K1310" i="18"/>
  <c r="O1310" i="18" s="1"/>
  <c r="K845" i="18"/>
  <c r="O845" i="18" s="1"/>
  <c r="K1851" i="18"/>
  <c r="O1851" i="18" s="1"/>
  <c r="K934" i="18"/>
  <c r="O934" i="18" s="1"/>
  <c r="K1695" i="18"/>
  <c r="O1695" i="18" s="1"/>
  <c r="K831" i="18"/>
  <c r="O831" i="18" s="1"/>
  <c r="K924" i="18"/>
  <c r="O924" i="18" s="1"/>
  <c r="K571" i="18"/>
  <c r="O571" i="18" s="1"/>
  <c r="K1314" i="18"/>
  <c r="O1314" i="18" s="1"/>
  <c r="K890" i="18"/>
  <c r="O890" i="18" s="1"/>
  <c r="K819" i="18"/>
  <c r="O819" i="18" s="1"/>
  <c r="K857" i="18"/>
  <c r="O857" i="18" s="1"/>
  <c r="K1736" i="18"/>
  <c r="O1736" i="18" s="1"/>
  <c r="K1771" i="18"/>
  <c r="O1771" i="18" s="1"/>
  <c r="K581" i="18"/>
  <c r="O581" i="18" s="1"/>
  <c r="K889" i="18"/>
  <c r="O889" i="18" s="1"/>
  <c r="K685" i="18"/>
  <c r="O685" i="18" s="1"/>
  <c r="K601" i="18"/>
  <c r="O601" i="18" s="1"/>
  <c r="K265" i="18"/>
  <c r="O265" i="18" s="1"/>
  <c r="K193" i="18"/>
  <c r="K570" i="18"/>
  <c r="O570" i="18" s="1"/>
  <c r="K1837" i="18"/>
  <c r="O1837" i="18" s="1"/>
  <c r="K949" i="18"/>
  <c r="O949" i="18" s="1"/>
  <c r="K1691" i="18"/>
  <c r="O1691" i="18" s="1"/>
  <c r="K826" i="18"/>
  <c r="O826" i="18" s="1"/>
  <c r="K2001" i="18"/>
  <c r="O2001" i="18" s="1"/>
  <c r="K1949" i="18"/>
  <c r="O1949" i="18" s="1"/>
  <c r="K1856" i="18"/>
  <c r="O1856" i="18" s="1"/>
  <c r="K1657" i="18"/>
  <c r="K677" i="18"/>
  <c r="O677" i="18" s="1"/>
  <c r="K662" i="18"/>
  <c r="O662" i="18" s="1"/>
  <c r="K642" i="18"/>
  <c r="O642" i="18" s="1"/>
  <c r="K602" i="18"/>
  <c r="O602" i="18" s="1"/>
  <c r="K499" i="18"/>
  <c r="O499" i="18" s="1"/>
  <c r="K356" i="18"/>
  <c r="O356" i="18" s="1"/>
  <c r="K295" i="18"/>
  <c r="O295" i="18" s="1"/>
  <c r="K274" i="18"/>
  <c r="O274" i="18" s="1"/>
  <c r="K266" i="18"/>
  <c r="O266" i="18" s="1"/>
  <c r="K256" i="18"/>
  <c r="O256" i="18" s="1"/>
  <c r="K174" i="18"/>
  <c r="O174" i="18" s="1"/>
  <c r="K149" i="18"/>
  <c r="K140" i="18"/>
  <c r="K130" i="18"/>
  <c r="K604" i="18"/>
  <c r="O604" i="18" s="1"/>
  <c r="K490" i="18"/>
  <c r="O490" i="18" s="1"/>
  <c r="K900" i="18"/>
  <c r="O900" i="18" s="1"/>
  <c r="K1777" i="18"/>
  <c r="O1777" i="18" s="1"/>
  <c r="K536" i="18"/>
  <c r="O536" i="18" s="1"/>
  <c r="K382" i="18"/>
  <c r="O382" i="18" s="1"/>
  <c r="K579" i="18"/>
  <c r="O579" i="18" s="1"/>
  <c r="K1918" i="18"/>
  <c r="O1918" i="18" s="1"/>
  <c r="K1867" i="18"/>
  <c r="O1867" i="18" s="1"/>
  <c r="K1841" i="18"/>
  <c r="O1841" i="18" s="1"/>
  <c r="K1735" i="18"/>
  <c r="O1735" i="18" s="1"/>
  <c r="K863" i="18"/>
  <c r="O863" i="18" s="1"/>
  <c r="K965" i="18"/>
  <c r="O965" i="18" s="1"/>
  <c r="K837" i="18"/>
  <c r="O837" i="18" s="1"/>
  <c r="K1839" i="18"/>
  <c r="O1839" i="18" s="1"/>
  <c r="K926" i="18"/>
  <c r="O926" i="18" s="1"/>
  <c r="K1641" i="18"/>
  <c r="O1641" i="18" s="1"/>
  <c r="K672" i="18"/>
  <c r="O672" i="18" s="1"/>
  <c r="K892" i="18"/>
  <c r="O892" i="18" s="1"/>
  <c r="K573" i="18"/>
  <c r="O573" i="18" s="1"/>
  <c r="K1697" i="18"/>
  <c r="O1697" i="18" s="1"/>
  <c r="K905" i="18"/>
  <c r="O905" i="18" s="1"/>
  <c r="K827" i="18"/>
  <c r="O827" i="18" s="1"/>
  <c r="K825" i="18"/>
  <c r="O825" i="18" s="1"/>
  <c r="K874" i="18"/>
  <c r="O874" i="18" s="1"/>
  <c r="K1759" i="18"/>
  <c r="O1759" i="18" s="1"/>
  <c r="K1677" i="18"/>
  <c r="O1677" i="18" s="1"/>
  <c r="K922" i="18"/>
  <c r="O922" i="18" s="1"/>
  <c r="K2009" i="18"/>
  <c r="O2009" i="18" s="1"/>
  <c r="K1786" i="18"/>
  <c r="O1786" i="18" s="1"/>
  <c r="K638" i="18"/>
  <c r="O638" i="18" s="1"/>
  <c r="K283" i="18"/>
  <c r="O283" i="18" s="1"/>
  <c r="K188" i="18"/>
  <c r="K575" i="18"/>
  <c r="O575" i="18" s="1"/>
  <c r="K1312" i="18"/>
  <c r="O1312" i="18" s="1"/>
  <c r="K1643" i="18"/>
  <c r="O1643" i="18" s="1"/>
  <c r="K820" i="18"/>
  <c r="O820" i="18" s="1"/>
  <c r="K891" i="18"/>
  <c r="O891" i="18" s="1"/>
  <c r="K817" i="18"/>
  <c r="O817" i="18" s="1"/>
  <c r="K2045" i="18"/>
  <c r="O2045" i="18" s="1"/>
  <c r="K1939" i="18"/>
  <c r="O1939" i="18" s="1"/>
  <c r="K1778" i="18"/>
  <c r="O1778" i="18" s="1"/>
  <c r="K1765" i="18"/>
  <c r="O1765" i="18" s="1"/>
  <c r="K1665" i="18"/>
  <c r="O1665" i="18" s="1"/>
  <c r="K928" i="18"/>
  <c r="O928" i="18" s="1"/>
  <c r="K856" i="18"/>
  <c r="O856" i="18" s="1"/>
  <c r="K750" i="18"/>
  <c r="O750" i="18" s="1"/>
  <c r="K661" i="18"/>
  <c r="O661" i="18" s="1"/>
  <c r="K598" i="18"/>
  <c r="O598" i="18" s="1"/>
  <c r="K544" i="18"/>
  <c r="O544" i="18" s="1"/>
  <c r="K489" i="18"/>
  <c r="O489" i="18" s="1"/>
  <c r="K384" i="18"/>
  <c r="K374" i="18"/>
  <c r="K365" i="18"/>
  <c r="O365" i="18" s="1"/>
  <c r="K284" i="18"/>
  <c r="K195" i="18"/>
  <c r="K652" i="18"/>
  <c r="O652" i="18" s="1"/>
  <c r="K184" i="18"/>
  <c r="K964" i="18"/>
  <c r="O964" i="18" s="1"/>
  <c r="K557" i="18"/>
  <c r="O557" i="18" s="1"/>
  <c r="K550" i="18"/>
  <c r="O550" i="18" s="1"/>
  <c r="K665" i="18"/>
  <c r="O665" i="18" s="1"/>
  <c r="K1914" i="18"/>
  <c r="O1914" i="18" s="1"/>
  <c r="K1861" i="18"/>
  <c r="O1861" i="18" s="1"/>
  <c r="K1825" i="18"/>
  <c r="O1825" i="18" s="1"/>
  <c r="K1320" i="18"/>
  <c r="O1320" i="18" s="1"/>
  <c r="K855" i="18"/>
  <c r="O855" i="18" s="1"/>
  <c r="K957" i="18"/>
  <c r="O957" i="18" s="1"/>
  <c r="K829" i="18"/>
  <c r="O829" i="18" s="1"/>
  <c r="K918" i="18"/>
  <c r="O918" i="18" s="1"/>
  <c r="K815" i="18"/>
  <c r="O815" i="18" s="1"/>
  <c r="K664" i="18"/>
  <c r="O664" i="18" s="1"/>
  <c r="K859" i="18"/>
  <c r="O859" i="18" s="1"/>
  <c r="K850" i="18"/>
  <c r="O850" i="18" s="1"/>
  <c r="K674" i="18"/>
  <c r="O674" i="18" s="1"/>
  <c r="K910" i="18"/>
  <c r="O910" i="18" s="1"/>
  <c r="K906" i="18"/>
  <c r="O906" i="18" s="1"/>
  <c r="K2053" i="18"/>
  <c r="O2053" i="18" s="1"/>
  <c r="K1965" i="18"/>
  <c r="O1965" i="18" s="1"/>
  <c r="K1938" i="18"/>
  <c r="O1938" i="18" s="1"/>
  <c r="K1824" i="18"/>
  <c r="O1824" i="18" s="1"/>
  <c r="K1664" i="18"/>
  <c r="O1664" i="18" s="1"/>
  <c r="K1656" i="18"/>
  <c r="K1321" i="18"/>
  <c r="O1321" i="18" s="1"/>
  <c r="K912" i="18"/>
  <c r="O912" i="18" s="1"/>
  <c r="K840" i="18"/>
  <c r="O840" i="18" s="1"/>
  <c r="K659" i="18"/>
  <c r="O659" i="18" s="1"/>
  <c r="K637" i="18"/>
  <c r="O637" i="18" s="1"/>
  <c r="K542" i="18"/>
  <c r="O542" i="18" s="1"/>
  <c r="K479" i="18"/>
  <c r="O479" i="18" s="1"/>
  <c r="K434" i="18"/>
  <c r="K383" i="18"/>
  <c r="K373" i="18"/>
  <c r="K172" i="18"/>
  <c r="O172" i="18" s="1"/>
  <c r="K121" i="18"/>
  <c r="K500" i="18"/>
  <c r="O500" i="18" s="1"/>
  <c r="K628" i="18"/>
  <c r="O628" i="18" s="1"/>
  <c r="K228" i="18"/>
  <c r="O228" i="18" s="1"/>
  <c r="K480" i="18"/>
  <c r="O480" i="18" s="1"/>
  <c r="K670" i="18"/>
  <c r="O670" i="18" s="1"/>
  <c r="K947" i="18"/>
  <c r="O947" i="18" s="1"/>
  <c r="K589" i="18"/>
  <c r="O589" i="18" s="1"/>
  <c r="K752" i="18"/>
  <c r="O752" i="18" s="1"/>
  <c r="K1866" i="18"/>
  <c r="O1866" i="18" s="1"/>
  <c r="K1915" i="18"/>
  <c r="O1915" i="18" s="1"/>
  <c r="K1744" i="18"/>
  <c r="O1744" i="18" s="1"/>
  <c r="K1304" i="18"/>
  <c r="O1304" i="18" s="1"/>
  <c r="K839" i="18"/>
  <c r="O839" i="18" s="1"/>
  <c r="K941" i="18"/>
  <c r="O941" i="18" s="1"/>
  <c r="K813" i="18"/>
  <c r="O813" i="18" s="1"/>
  <c r="K1935" i="18"/>
  <c r="O1935" i="18" s="1"/>
  <c r="K902" i="18"/>
  <c r="O902" i="18" s="1"/>
  <c r="K799" i="18"/>
  <c r="O799" i="18" s="1"/>
  <c r="K1317" i="18"/>
  <c r="O1317" i="18" s="1"/>
  <c r="K814" i="18"/>
  <c r="O814" i="18" s="1"/>
  <c r="K828" i="18"/>
  <c r="O828" i="18" s="1"/>
  <c r="K843" i="18"/>
  <c r="O843" i="18" s="1"/>
  <c r="K954" i="18"/>
  <c r="O954" i="18" s="1"/>
  <c r="K865" i="18"/>
  <c r="O865" i="18" s="1"/>
  <c r="K923" i="18"/>
  <c r="O923" i="18" s="1"/>
  <c r="K921" i="18"/>
  <c r="O921" i="18" s="1"/>
  <c r="K1932" i="18"/>
  <c r="O1932" i="18" s="1"/>
  <c r="K386" i="18"/>
  <c r="K2017" i="18"/>
  <c r="O2017" i="18" s="1"/>
  <c r="K1920" i="18"/>
  <c r="O1920" i="18" s="1"/>
  <c r="K1852" i="18"/>
  <c r="O1852" i="18" s="1"/>
  <c r="K1798" i="18"/>
  <c r="O1798" i="18" s="1"/>
  <c r="K1785" i="18"/>
  <c r="O1785" i="18" s="1"/>
  <c r="K1776" i="18"/>
  <c r="O1776" i="18" s="1"/>
  <c r="K824" i="18"/>
  <c r="O824" i="18" s="1"/>
  <c r="K684" i="18"/>
  <c r="O684" i="18" s="1"/>
  <c r="K636" i="18"/>
  <c r="O636" i="18" s="1"/>
  <c r="K596" i="18"/>
  <c r="O596" i="18" s="1"/>
  <c r="K449" i="18"/>
  <c r="O449" i="18" s="1"/>
  <c r="K354" i="18"/>
  <c r="O354" i="18" s="1"/>
  <c r="K293" i="18"/>
  <c r="K272" i="18"/>
  <c r="O272" i="18" s="1"/>
  <c r="K194" i="18"/>
  <c r="K138" i="18"/>
  <c r="K1868" i="18"/>
  <c r="O1868" i="18" s="1"/>
  <c r="K442" i="18"/>
  <c r="O442" i="18" s="1"/>
  <c r="K230" i="18"/>
  <c r="O230" i="18" s="1"/>
  <c r="K569" i="18"/>
  <c r="O569" i="18" s="1"/>
  <c r="K1812" i="18"/>
  <c r="O1812" i="18" s="1"/>
  <c r="K376" i="18"/>
  <c r="O376" i="18" s="1"/>
  <c r="K836" i="18"/>
  <c r="O836" i="18" s="1"/>
  <c r="K2617" i="18"/>
  <c r="O2617" i="18" s="1"/>
  <c r="K1862" i="18"/>
  <c r="O1862" i="18" s="1"/>
  <c r="K1869" i="18"/>
  <c r="O1869" i="18" s="1"/>
  <c r="K1693" i="18"/>
  <c r="O1693" i="18" s="1"/>
  <c r="K959" i="18"/>
  <c r="O959" i="18" s="1"/>
  <c r="K933" i="18"/>
  <c r="O933" i="18" s="1"/>
  <c r="K805" i="18"/>
  <c r="O805" i="18" s="1"/>
  <c r="K1860" i="18"/>
  <c r="O1860" i="18" s="1"/>
  <c r="K894" i="18"/>
  <c r="O894" i="18" s="1"/>
  <c r="K791" i="18"/>
  <c r="O791" i="18" s="1"/>
  <c r="K948" i="18"/>
  <c r="O948" i="18" s="1"/>
  <c r="K812" i="18"/>
  <c r="O812" i="18" s="1"/>
  <c r="K1316" i="18"/>
  <c r="O1316" i="18" s="1"/>
  <c r="K875" i="18"/>
  <c r="O875" i="18" s="1"/>
  <c r="K1306" i="18"/>
  <c r="O1306" i="18" s="1"/>
  <c r="K882" i="18"/>
  <c r="O882" i="18" s="1"/>
  <c r="K955" i="18"/>
  <c r="O955" i="18" s="1"/>
  <c r="K938" i="18"/>
  <c r="O938" i="18" s="1"/>
  <c r="K2081" i="18"/>
  <c r="O2081" i="18" s="1"/>
  <c r="K2061" i="18"/>
  <c r="O2061" i="18" s="1"/>
  <c r="K798" i="18"/>
  <c r="O798" i="18" s="1"/>
  <c r="K1322" i="18"/>
  <c r="O1322" i="18" s="1"/>
  <c r="K862" i="18"/>
  <c r="O862" i="18" s="1"/>
  <c r="K866" i="18"/>
  <c r="O866" i="18" s="1"/>
  <c r="K946" i="18"/>
  <c r="O946" i="18" s="1"/>
  <c r="K1936" i="18"/>
  <c r="O1936" i="18" s="1"/>
  <c r="K1315" i="18"/>
  <c r="O1315" i="18" s="1"/>
  <c r="K2021" i="18"/>
  <c r="O2021" i="18" s="1"/>
  <c r="K1793" i="18"/>
  <c r="O1793" i="18" s="1"/>
  <c r="K1658" i="18"/>
  <c r="O1658" i="18" s="1"/>
  <c r="K816" i="18"/>
  <c r="O816" i="18" s="1"/>
  <c r="K549" i="18"/>
  <c r="O549" i="18" s="1"/>
  <c r="K367" i="18"/>
  <c r="O367" i="18" s="1"/>
  <c r="K1671" i="18"/>
  <c r="O1671" i="18" s="1"/>
  <c r="K1840" i="18"/>
  <c r="O1840" i="18" s="1"/>
  <c r="K1930" i="18"/>
  <c r="O1930" i="18" s="1"/>
  <c r="K887" i="18"/>
  <c r="O887" i="18" s="1"/>
  <c r="K896" i="18"/>
  <c r="O896" i="18" s="1"/>
  <c r="K692" i="18"/>
  <c r="O692" i="18" s="1"/>
  <c r="K1696" i="18"/>
  <c r="O1696" i="18" s="1"/>
  <c r="K2025" i="18"/>
  <c r="O2025" i="18" s="1"/>
  <c r="K1973" i="18"/>
  <c r="O1973" i="18" s="1"/>
  <c r="K1937" i="18"/>
  <c r="O1937" i="18" s="1"/>
  <c r="K1305" i="18"/>
  <c r="O1305" i="18" s="1"/>
  <c r="K656" i="18"/>
  <c r="O656" i="18" s="1"/>
  <c r="K634" i="18"/>
  <c r="O634" i="18" s="1"/>
  <c r="K595" i="18"/>
  <c r="O595" i="18" s="1"/>
  <c r="K478" i="18"/>
  <c r="O478" i="18" s="1"/>
  <c r="K433" i="18"/>
  <c r="K372" i="18"/>
  <c r="K302" i="18"/>
  <c r="K269" i="18"/>
  <c r="O269" i="18" s="1"/>
  <c r="K181" i="18"/>
  <c r="O181" i="18" s="1"/>
  <c r="K146" i="18"/>
  <c r="O146" i="18" s="1"/>
  <c r="K120" i="18"/>
  <c r="K129" i="18"/>
  <c r="K541" i="18"/>
  <c r="O541" i="18" s="1"/>
  <c r="K135" i="18"/>
  <c r="K1916" i="18"/>
  <c r="O1916" i="18" s="1"/>
  <c r="K1912" i="18"/>
  <c r="O1912" i="18" s="1"/>
  <c r="K532" i="18"/>
  <c r="O532" i="18" s="1"/>
  <c r="K186" i="18"/>
  <c r="K2623" i="18"/>
  <c r="O2623" i="18" s="1"/>
  <c r="K1858" i="18"/>
  <c r="O1858" i="18" s="1"/>
  <c r="K1833" i="18"/>
  <c r="O1833" i="18" s="1"/>
  <c r="K1768" i="18"/>
  <c r="O1768" i="18" s="1"/>
  <c r="K1871" i="18"/>
  <c r="K951" i="18"/>
  <c r="O951" i="18" s="1"/>
  <c r="K1863" i="18"/>
  <c r="O1863" i="18" s="1"/>
  <c r="K925" i="18"/>
  <c r="O925" i="18" s="1"/>
  <c r="K797" i="18"/>
  <c r="O797" i="18" s="1"/>
  <c r="K886" i="18"/>
  <c r="O886" i="18" s="1"/>
  <c r="K1686" i="18"/>
  <c r="O1686" i="18" s="1"/>
  <c r="K916" i="18"/>
  <c r="O916" i="18" s="1"/>
  <c r="K806" i="18"/>
  <c r="O806" i="18" s="1"/>
  <c r="K694" i="18"/>
  <c r="O694" i="18" s="1"/>
  <c r="K907" i="18"/>
  <c r="O907" i="18" s="1"/>
  <c r="K1323" i="18"/>
  <c r="O1323" i="18" s="1"/>
  <c r="K897" i="18"/>
  <c r="O897" i="18" s="1"/>
  <c r="K1324" i="18"/>
  <c r="O1324" i="18" s="1"/>
  <c r="K953" i="18"/>
  <c r="O953" i="18" s="1"/>
  <c r="K1741" i="18"/>
  <c r="O1741" i="18" s="1"/>
  <c r="K2620" i="18"/>
  <c r="O2620" i="18" s="1"/>
  <c r="K849" i="18"/>
  <c r="O849" i="18" s="1"/>
  <c r="K929" i="18"/>
  <c r="O929" i="18" s="1"/>
  <c r="K2611" i="18"/>
  <c r="O2611" i="18" s="1"/>
  <c r="K835" i="18"/>
  <c r="O835" i="18" s="1"/>
  <c r="K793" i="18"/>
  <c r="O793" i="18" s="1"/>
  <c r="K679" i="18"/>
  <c r="O679" i="18" s="1"/>
  <c r="K286" i="18"/>
  <c r="O286" i="18" s="1"/>
  <c r="K142" i="18"/>
  <c r="K592" i="18"/>
  <c r="O592" i="18" s="1"/>
  <c r="K915" i="18"/>
  <c r="O915" i="18" s="1"/>
  <c r="K861" i="18"/>
  <c r="O861" i="18" s="1"/>
  <c r="K1325" i="18"/>
  <c r="O1325" i="18" s="1"/>
  <c r="K1663" i="18"/>
  <c r="O1663" i="18" s="1"/>
  <c r="K2033" i="18"/>
  <c r="O2033" i="18" s="1"/>
  <c r="K1981" i="18"/>
  <c r="O1981" i="18" s="1"/>
  <c r="K1775" i="18"/>
  <c r="O1775" i="18" s="1"/>
  <c r="K1762" i="18"/>
  <c r="O1762" i="18" s="1"/>
  <c r="K1739" i="18"/>
  <c r="O1739" i="18" s="1"/>
  <c r="K1662" i="18"/>
  <c r="O1662" i="18" s="1"/>
  <c r="K1644" i="18"/>
  <c r="O1644" i="18" s="1"/>
  <c r="K952" i="18"/>
  <c r="O952" i="18" s="1"/>
  <c r="K880" i="18"/>
  <c r="O880" i="18" s="1"/>
  <c r="K808" i="18"/>
  <c r="O808" i="18" s="1"/>
  <c r="K655" i="18"/>
  <c r="O655" i="18" s="1"/>
  <c r="K362" i="18"/>
  <c r="K353" i="18"/>
  <c r="O353" i="18" s="1"/>
  <c r="K301" i="18"/>
  <c r="O301" i="18" s="1"/>
  <c r="K281" i="18"/>
  <c r="K262" i="18"/>
  <c r="O262" i="18" s="1"/>
  <c r="K137" i="18"/>
  <c r="K1659" i="18"/>
  <c r="O1659" i="18" s="1"/>
  <c r="K561" i="18"/>
  <c r="O561" i="18" s="1"/>
  <c r="K156" i="18"/>
  <c r="K587" i="18"/>
  <c r="O587" i="18" s="1"/>
  <c r="K538" i="18"/>
  <c r="O538" i="18" s="1"/>
  <c r="K234" i="18"/>
  <c r="O234" i="18" s="1"/>
  <c r="K2615" i="18"/>
  <c r="O2615" i="18" s="1"/>
  <c r="K1854" i="18"/>
  <c r="O1854" i="18" s="1"/>
  <c r="K1919" i="18"/>
  <c r="O1919" i="18" s="1"/>
  <c r="K1865" i="18"/>
  <c r="O1865" i="18" s="1"/>
  <c r="K943" i="18"/>
  <c r="O943" i="18" s="1"/>
  <c r="K1672" i="18"/>
  <c r="O1672" i="18" s="1"/>
  <c r="K917" i="18"/>
  <c r="O917" i="18" s="1"/>
  <c r="K789" i="18"/>
  <c r="O789" i="18" s="1"/>
  <c r="K1737" i="18"/>
  <c r="O1737" i="18" s="1"/>
  <c r="K878" i="18"/>
  <c r="O878" i="18" s="1"/>
  <c r="K1309" i="18"/>
  <c r="O1309" i="18" s="1"/>
  <c r="K884" i="18"/>
  <c r="O884" i="18" s="1"/>
  <c r="K804" i="18"/>
  <c r="O804" i="18" s="1"/>
  <c r="K834" i="18"/>
  <c r="O834" i="18" s="1"/>
  <c r="K939" i="18"/>
  <c r="O939" i="18" s="1"/>
  <c r="K668" i="18"/>
  <c r="O668" i="18" s="1"/>
  <c r="K914" i="18"/>
  <c r="O914" i="18" s="1"/>
  <c r="K1844" i="18"/>
  <c r="O1844" i="18" s="1"/>
  <c r="K1307" i="18"/>
  <c r="O1307" i="18" s="1"/>
  <c r="K1743" i="18"/>
  <c r="O1743" i="18" s="1"/>
  <c r="K2618" i="18"/>
  <c r="O2618" i="18" s="1"/>
  <c r="K940" i="18"/>
  <c r="O940" i="18" s="1"/>
  <c r="K753" i="18"/>
  <c r="O753" i="18" s="1"/>
  <c r="K751" i="18"/>
  <c r="O751" i="18" s="1"/>
  <c r="K2619" i="18"/>
  <c r="O2619" i="18" s="1"/>
  <c r="K185" i="18"/>
  <c r="K1925" i="18"/>
  <c r="O1925" i="18" s="1"/>
  <c r="K945" i="18"/>
  <c r="O945" i="18" s="1"/>
  <c r="K1997" i="18"/>
  <c r="O1997" i="18" s="1"/>
  <c r="K1945" i="18"/>
  <c r="O1945" i="18" s="1"/>
  <c r="K1820" i="18"/>
  <c r="O1820" i="18" s="1"/>
  <c r="K1772" i="18"/>
  <c r="O1772" i="18" s="1"/>
  <c r="K1690" i="18"/>
  <c r="O1690" i="18" s="1"/>
  <c r="K682" i="18"/>
  <c r="O682" i="18" s="1"/>
  <c r="K654" i="18"/>
  <c r="O654" i="18" s="1"/>
  <c r="K632" i="18"/>
  <c r="O632" i="18" s="1"/>
  <c r="K590" i="18"/>
  <c r="O590" i="18" s="1"/>
  <c r="K504" i="18"/>
  <c r="O504" i="18" s="1"/>
  <c r="K477" i="18"/>
  <c r="O477" i="18" s="1"/>
  <c r="K432" i="18"/>
  <c r="K380" i="18"/>
  <c r="K371" i="18"/>
  <c r="K271" i="18"/>
  <c r="O271" i="18" s="1"/>
  <c r="K192" i="18"/>
  <c r="O192" i="18" s="1"/>
  <c r="K180" i="18"/>
  <c r="O180" i="18" s="1"/>
  <c r="K119" i="18"/>
  <c r="K1667" i="18"/>
  <c r="O1667" i="18" s="1"/>
  <c r="K1924" i="18"/>
  <c r="O1924" i="18" s="1"/>
  <c r="K131" i="18"/>
  <c r="K686" i="18"/>
  <c r="O686" i="18" s="1"/>
  <c r="K565" i="18"/>
  <c r="O565" i="18" s="1"/>
  <c r="K552" i="18"/>
  <c r="O552" i="18" s="1"/>
  <c r="K448" i="18"/>
  <c r="O448" i="18" s="1"/>
  <c r="K2621" i="18"/>
  <c r="O2621" i="18" s="1"/>
  <c r="K1850" i="18"/>
  <c r="O1850" i="18" s="1"/>
  <c r="K1927" i="18"/>
  <c r="O1927" i="18" s="1"/>
  <c r="K1913" i="18"/>
  <c r="O1913" i="18" s="1"/>
  <c r="K1835" i="18"/>
  <c r="O1835" i="18" s="1"/>
  <c r="K935" i="18"/>
  <c r="O935" i="18" s="1"/>
  <c r="K1857" i="18"/>
  <c r="O1857" i="18" s="1"/>
  <c r="K909" i="18"/>
  <c r="O909" i="18" s="1"/>
  <c r="K1929" i="18"/>
  <c r="O1929" i="18" s="1"/>
  <c r="K1683" i="18"/>
  <c r="O1683" i="18" s="1"/>
  <c r="K870" i="18"/>
  <c r="O870" i="18" s="1"/>
  <c r="K852" i="18"/>
  <c r="O852" i="18" s="1"/>
  <c r="K1308" i="18"/>
  <c r="O1308" i="18" s="1"/>
  <c r="K646" i="18"/>
  <c r="O646" i="18" s="1"/>
  <c r="K2041" i="18"/>
  <c r="O2041" i="18" s="1"/>
  <c r="K1989" i="18"/>
  <c r="O1989" i="18" s="1"/>
  <c r="K1848" i="18"/>
  <c r="O1848" i="18" s="1"/>
  <c r="K1750" i="18"/>
  <c r="O1750" i="18" s="1"/>
  <c r="K1670" i="18"/>
  <c r="O1670" i="18" s="1"/>
  <c r="K1661" i="18"/>
  <c r="O1661" i="18" s="1"/>
  <c r="K936" i="18"/>
  <c r="O936" i="18" s="1"/>
  <c r="K864" i="18"/>
  <c r="O864" i="18" s="1"/>
  <c r="K792" i="18"/>
  <c r="O792" i="18" s="1"/>
  <c r="K631" i="18"/>
  <c r="O631" i="18" s="1"/>
  <c r="K446" i="18"/>
  <c r="O446" i="18" s="1"/>
  <c r="K361" i="18"/>
  <c r="O361" i="18" s="1"/>
  <c r="K290" i="18"/>
  <c r="K261" i="18"/>
  <c r="O261" i="18" s="1"/>
  <c r="K145" i="18"/>
  <c r="K136" i="18"/>
  <c r="K1816" i="18"/>
  <c r="O1816" i="18" s="1"/>
  <c r="K117" i="18"/>
  <c r="K133" i="18"/>
  <c r="K688" i="18"/>
  <c r="O688" i="18" s="1"/>
  <c r="K622" i="18"/>
  <c r="O622" i="18" s="1"/>
  <c r="K572" i="18"/>
  <c r="O572" i="18" s="1"/>
  <c r="K545" i="18"/>
  <c r="O545" i="18" s="1"/>
  <c r="K2612" i="18"/>
  <c r="O2612" i="18" s="1"/>
  <c r="K1846" i="18"/>
  <c r="O1846" i="18" s="1"/>
  <c r="K1921" i="18"/>
  <c r="O1921" i="18" s="1"/>
  <c r="K1847" i="18"/>
  <c r="O1847" i="18" s="1"/>
  <c r="K927" i="18"/>
  <c r="O927" i="18" s="1"/>
  <c r="K1845" i="18"/>
  <c r="O1845" i="18" s="1"/>
  <c r="K901" i="18"/>
  <c r="O901" i="18" s="1"/>
  <c r="K1676" i="18"/>
  <c r="O1676" i="18" s="1"/>
  <c r="K908" i="18"/>
  <c r="O908" i="18" s="1"/>
  <c r="K796" i="18"/>
  <c r="O796" i="18" s="1"/>
  <c r="K794" i="18"/>
  <c r="O794" i="18" s="1"/>
  <c r="K667" i="18"/>
  <c r="O667" i="18" s="1"/>
  <c r="K1828" i="18"/>
  <c r="O1828" i="18" s="1"/>
  <c r="K567" i="18"/>
  <c r="O567" i="18" s="1"/>
  <c r="K377" i="18"/>
  <c r="K868" i="18"/>
  <c r="O868" i="18" s="1"/>
  <c r="K1917" i="18"/>
  <c r="O1917" i="18" s="1"/>
  <c r="K822" i="18"/>
  <c r="O822" i="18" s="1"/>
  <c r="K1699" i="18"/>
  <c r="O1699" i="18" s="1"/>
  <c r="K2005" i="18"/>
  <c r="O2005" i="18" s="1"/>
  <c r="K1953" i="18"/>
  <c r="O1953" i="18" s="1"/>
  <c r="K1749" i="18"/>
  <c r="O1749" i="18" s="1"/>
  <c r="K693" i="18"/>
  <c r="O693" i="18" s="1"/>
  <c r="K681" i="18"/>
  <c r="O681" i="18" s="1"/>
  <c r="K669" i="18"/>
  <c r="O669" i="18" s="1"/>
  <c r="K650" i="18"/>
  <c r="O650" i="18" s="1"/>
  <c r="K431" i="18"/>
  <c r="K379" i="18"/>
  <c r="K270" i="18"/>
  <c r="O270" i="18" s="1"/>
  <c r="K191" i="18"/>
  <c r="K152" i="18"/>
  <c r="O152" i="18" s="1"/>
  <c r="K2101" i="18"/>
  <c r="O2101" i="18" s="1"/>
  <c r="K153" i="18"/>
  <c r="K167" i="18"/>
  <c r="K690" i="18"/>
  <c r="O690" i="18" s="1"/>
  <c r="K1864" i="18"/>
  <c r="O1864" i="18" s="1"/>
  <c r="K577" i="18"/>
  <c r="O577" i="18" s="1"/>
  <c r="K574" i="18"/>
  <c r="O574" i="18" s="1"/>
  <c r="K2616" i="18"/>
  <c r="O2616" i="18" s="1"/>
  <c r="K1842" i="18"/>
  <c r="O1842" i="18" s="1"/>
  <c r="K1855" i="18"/>
  <c r="O1855" i="18" s="1"/>
  <c r="K1831" i="18"/>
  <c r="O1831" i="18" s="1"/>
  <c r="K1756" i="18"/>
  <c r="O1756" i="18" s="1"/>
  <c r="K919" i="18"/>
  <c r="O919" i="18" s="1"/>
  <c r="K1829" i="18"/>
  <c r="O1829" i="18" s="1"/>
  <c r="K893" i="18"/>
  <c r="O893" i="18" s="1"/>
  <c r="K1694" i="18"/>
  <c r="O1694" i="18" s="1"/>
  <c r="K1319" i="18"/>
  <c r="O1319" i="18" s="1"/>
  <c r="K854" i="18"/>
  <c r="O854" i="18" s="1"/>
  <c r="K876" i="18"/>
  <c r="O876" i="18" s="1"/>
  <c r="K691" i="18"/>
  <c r="O691" i="18" s="1"/>
  <c r="K790" i="18"/>
  <c r="O790" i="18" s="1"/>
  <c r="K881" i="18"/>
  <c r="O881" i="18" s="1"/>
  <c r="K802" i="18"/>
  <c r="O802" i="18" s="1"/>
  <c r="K867" i="18"/>
  <c r="O867" i="18" s="1"/>
  <c r="K961" i="18"/>
  <c r="O961" i="18" s="1"/>
  <c r="K754" i="18"/>
  <c r="O754" i="18" s="1"/>
  <c r="K1688" i="18"/>
  <c r="O1688" i="18" s="1"/>
  <c r="K950" i="18"/>
  <c r="O950" i="18" s="1"/>
  <c r="K2049" i="18"/>
  <c r="O2049" i="18" s="1"/>
  <c r="K1961" i="18"/>
  <c r="O1961" i="18" s="1"/>
  <c r="K1780" i="18"/>
  <c r="O1780" i="18" s="1"/>
  <c r="K1669" i="18"/>
  <c r="O1669" i="18" s="1"/>
  <c r="K1660" i="18"/>
  <c r="O1660" i="18" s="1"/>
  <c r="K920" i="18"/>
  <c r="O920" i="18" s="1"/>
  <c r="K848" i="18"/>
  <c r="O848" i="18" s="1"/>
  <c r="K649" i="18"/>
  <c r="O649" i="18" s="1"/>
  <c r="K626" i="18"/>
  <c r="O626" i="18" s="1"/>
  <c r="K551" i="18"/>
  <c r="O551" i="18" s="1"/>
  <c r="K533" i="18"/>
  <c r="O533" i="18" s="1"/>
  <c r="K484" i="18"/>
  <c r="O484" i="18" s="1"/>
  <c r="K445" i="18"/>
  <c r="O445" i="18" s="1"/>
  <c r="K360" i="18"/>
  <c r="O360" i="18" s="1"/>
  <c r="K299" i="18"/>
  <c r="K278" i="18"/>
  <c r="K260" i="18"/>
  <c r="O260" i="18" s="1"/>
  <c r="K199" i="18"/>
  <c r="K178" i="18"/>
  <c r="O178" i="18" s="1"/>
  <c r="K118" i="18"/>
  <c r="K159" i="18"/>
  <c r="K292" i="18"/>
  <c r="O292" i="18" s="1"/>
  <c r="K175" i="18"/>
  <c r="K580" i="18"/>
  <c r="O580" i="18" s="1"/>
  <c r="K676" i="18"/>
  <c r="O676" i="18" s="1"/>
  <c r="K2614" i="18"/>
  <c r="O2614" i="18" s="1"/>
  <c r="K1838" i="18"/>
  <c r="O1838" i="18" s="1"/>
  <c r="K1849" i="18"/>
  <c r="O1849" i="18" s="1"/>
  <c r="K1674" i="18"/>
  <c r="O1674" i="18" s="1"/>
  <c r="K911" i="18"/>
  <c r="O911" i="18" s="1"/>
  <c r="K885" i="18"/>
  <c r="O885" i="18" s="1"/>
  <c r="K1692" i="18"/>
  <c r="O1692" i="18" s="1"/>
  <c r="K1311" i="18"/>
  <c r="O1311" i="18" s="1"/>
  <c r="K846" i="18"/>
  <c r="O846" i="18" s="1"/>
  <c r="K844" i="18"/>
  <c r="O844" i="18" s="1"/>
  <c r="K666" i="18"/>
  <c r="O666" i="18" s="1"/>
  <c r="K689" i="18"/>
  <c r="O689" i="18" s="1"/>
  <c r="K898" i="18"/>
  <c r="O898" i="18" s="1"/>
  <c r="K810" i="18"/>
  <c r="O810" i="18" s="1"/>
  <c r="K899" i="18"/>
  <c r="O899" i="18" s="1"/>
  <c r="K2013" i="18"/>
  <c r="O2013" i="18" s="1"/>
  <c r="K1794" i="18"/>
  <c r="O1794" i="18" s="1"/>
  <c r="K1687" i="18"/>
  <c r="O1687" i="18" s="1"/>
  <c r="K680" i="18"/>
  <c r="O680" i="18" s="1"/>
  <c r="K648" i="18"/>
  <c r="O648" i="18" s="1"/>
  <c r="K625" i="18"/>
  <c r="O625" i="18" s="1"/>
  <c r="K378" i="18"/>
  <c r="K368" i="18"/>
  <c r="O368" i="18" s="1"/>
  <c r="K298" i="18"/>
  <c r="O298" i="18" s="1"/>
  <c r="K277" i="18"/>
  <c r="O277" i="18" s="1"/>
  <c r="K190" i="18"/>
  <c r="O190" i="18" s="1"/>
  <c r="K143" i="18"/>
  <c r="K358" i="18"/>
  <c r="O358" i="18" s="1"/>
  <c r="K495" i="18"/>
  <c r="O495" i="18" s="1"/>
  <c r="K671" i="18"/>
  <c r="O671" i="18" s="1"/>
  <c r="K2071" i="18"/>
  <c r="O2071" i="18" s="1"/>
  <c r="K578" i="18"/>
  <c r="O578" i="18" s="1"/>
  <c r="K851" i="18"/>
  <c r="O851" i="18" s="1"/>
  <c r="K678" i="18"/>
  <c r="O678" i="18" s="1"/>
  <c r="K2622" i="18"/>
  <c r="O2622" i="18" s="1"/>
  <c r="K1834" i="18"/>
  <c r="O1834" i="18" s="1"/>
  <c r="K1843" i="18"/>
  <c r="O1843" i="18" s="1"/>
  <c r="K1673" i="18"/>
  <c r="O1673" i="18" s="1"/>
  <c r="K2111" i="18"/>
  <c r="O2111" i="18" s="1"/>
  <c r="K903" i="18"/>
  <c r="O903" i="18" s="1"/>
  <c r="K1804" i="18"/>
  <c r="O1804" i="18" s="1"/>
  <c r="K877" i="18"/>
  <c r="O877" i="18" s="1"/>
  <c r="K1640" i="18"/>
  <c r="O1640" i="18" s="1"/>
  <c r="K1303" i="18"/>
  <c r="O1303" i="18" s="1"/>
  <c r="K838" i="18"/>
  <c r="O838" i="18" s="1"/>
  <c r="K823" i="18"/>
  <c r="O823" i="18" s="1"/>
  <c r="K1742" i="18"/>
  <c r="O1742" i="18" s="1"/>
  <c r="K585" i="18"/>
  <c r="O585" i="18" s="1"/>
  <c r="K913" i="18"/>
  <c r="O913" i="18" s="1"/>
  <c r="K818" i="18"/>
  <c r="O818" i="18" s="1"/>
  <c r="K931" i="18"/>
  <c r="O931" i="18" s="1"/>
  <c r="K1642" i="18"/>
  <c r="O1642" i="18" s="1"/>
  <c r="K801" i="18"/>
  <c r="O801" i="18" s="1"/>
  <c r="K2091" i="18"/>
  <c r="O2091" i="18" s="1"/>
  <c r="K2057" i="18"/>
  <c r="O2057" i="18" s="1"/>
  <c r="K1969" i="18"/>
  <c r="O1969" i="18" s="1"/>
  <c r="K1781" i="18"/>
  <c r="O1781" i="18" s="1"/>
  <c r="K1668" i="18"/>
  <c r="O1668" i="18" s="1"/>
  <c r="K1639" i="18"/>
  <c r="O1639" i="18" s="1"/>
  <c r="K1313" i="18"/>
  <c r="O1313" i="18" s="1"/>
  <c r="K904" i="18"/>
  <c r="O904" i="18" s="1"/>
  <c r="K647" i="18"/>
  <c r="O647" i="18" s="1"/>
  <c r="K568" i="18"/>
  <c r="O568" i="18" s="1"/>
  <c r="K359" i="18"/>
  <c r="O359" i="18" s="1"/>
  <c r="K287" i="18"/>
  <c r="K198" i="18"/>
  <c r="K177" i="18"/>
  <c r="O177" i="18" s="1"/>
  <c r="K151" i="18"/>
  <c r="K364" i="18"/>
  <c r="O364" i="18" s="1"/>
  <c r="K171" i="18"/>
  <c r="K183" i="18"/>
  <c r="K553" i="18"/>
  <c r="O553" i="18" s="1"/>
  <c r="K673" i="18"/>
  <c r="O673" i="18" s="1"/>
  <c r="K932" i="18"/>
  <c r="O932" i="18" s="1"/>
  <c r="K687" i="18"/>
  <c r="O687" i="18" s="1"/>
  <c r="K1934" i="18"/>
  <c r="O1934" i="18" s="1"/>
  <c r="K1830" i="18"/>
  <c r="O1830" i="18" s="1"/>
  <c r="K1827" i="18"/>
  <c r="O1827" i="18" s="1"/>
  <c r="K1931" i="18"/>
  <c r="O1931" i="18" s="1"/>
  <c r="K1923" i="18"/>
  <c r="O1923" i="18" s="1"/>
  <c r="K895" i="18"/>
  <c r="O895" i="18" s="1"/>
  <c r="K1675" i="18"/>
  <c r="O1675" i="18" s="1"/>
  <c r="K869" i="18"/>
  <c r="O869" i="18" s="1"/>
  <c r="K960" i="18"/>
  <c r="O960" i="18" s="1"/>
  <c r="K958" i="18"/>
  <c r="O958" i="18" s="1"/>
  <c r="K830" i="18"/>
  <c r="O830" i="18" s="1"/>
  <c r="K683" i="18"/>
  <c r="O683" i="18" s="1"/>
  <c r="K1740" i="18"/>
  <c r="O1740" i="18" s="1"/>
  <c r="K1746" i="18"/>
  <c r="O1746" i="18" s="1"/>
  <c r="K930" i="18"/>
  <c r="O930" i="18" s="1"/>
  <c r="K841" i="18"/>
  <c r="O841" i="18" s="1"/>
  <c r="K963" i="18"/>
  <c r="O963" i="18" s="1"/>
  <c r="K795" i="18"/>
  <c r="O795" i="18" s="1"/>
  <c r="K809" i="18"/>
  <c r="O809" i="18" s="1"/>
  <c r="K1685" i="18"/>
  <c r="O1685" i="18" s="1"/>
  <c r="K1684" i="18"/>
  <c r="O1684" i="18" s="1"/>
  <c r="K2029" i="18"/>
  <c r="O2029" i="18" s="1"/>
  <c r="K1747" i="18"/>
  <c r="O1747" i="18" s="1"/>
  <c r="K888" i="18"/>
  <c r="O888" i="18" s="1"/>
  <c r="K608" i="18"/>
  <c r="O608" i="18" s="1"/>
  <c r="K444" i="18"/>
  <c r="K132" i="18"/>
  <c r="K134" i="18"/>
  <c r="K1826" i="18"/>
  <c r="O1826" i="18" s="1"/>
  <c r="K1326" i="18"/>
  <c r="O1326" i="18" s="1"/>
  <c r="K675" i="18"/>
  <c r="O675" i="18" s="1"/>
  <c r="K803" i="18"/>
  <c r="O803" i="18" s="1"/>
  <c r="K196" i="18"/>
  <c r="K87" i="18"/>
  <c r="K88" i="18"/>
  <c r="K189" i="18"/>
  <c r="K89" i="18"/>
  <c r="I31" i="12"/>
  <c r="N35" i="12"/>
  <c r="L41" i="12"/>
  <c r="H45" i="12"/>
  <c r="J29" i="12"/>
  <c r="J25" i="12"/>
  <c r="J31" i="12"/>
  <c r="M37" i="12"/>
  <c r="N31" i="12"/>
  <c r="H35" i="12"/>
  <c r="G25" i="12"/>
  <c r="M29" i="12"/>
  <c r="I29" i="12"/>
  <c r="G41" i="12"/>
  <c r="G45" i="12"/>
  <c r="Q37" i="12"/>
  <c r="T4" i="12"/>
  <c r="K33" i="12"/>
  <c r="K25" i="12"/>
  <c r="M39" i="12"/>
  <c r="P43" i="12"/>
  <c r="H39" i="12"/>
  <c r="Q25" i="12"/>
  <c r="Q41" i="12"/>
  <c r="Q39" i="12"/>
  <c r="P27" i="12"/>
  <c r="L25" i="12"/>
  <c r="P29" i="12"/>
  <c r="F41" i="12"/>
  <c r="Q45" i="12"/>
  <c r="Q31" i="12"/>
  <c r="K45" i="12"/>
  <c r="G39" i="12"/>
  <c r="J27" i="12"/>
  <c r="Q29" i="12"/>
  <c r="P41" i="12"/>
  <c r="Q35" i="12"/>
  <c r="K39" i="12"/>
  <c r="G35" i="12"/>
  <c r="K35" i="12"/>
  <c r="J33" i="12"/>
  <c r="I35" i="12"/>
  <c r="I27" i="12"/>
  <c r="J43" i="12"/>
  <c r="Q44" i="12"/>
  <c r="K41" i="12"/>
  <c r="Q26" i="12"/>
  <c r="P26" i="12"/>
  <c r="P34" i="12"/>
  <c r="K31" i="12"/>
  <c r="F39" i="12"/>
  <c r="P39" i="12"/>
  <c r="P31" i="12"/>
  <c r="K37" i="12"/>
  <c r="J35" i="12"/>
  <c r="L45" i="12"/>
  <c r="M43" i="12"/>
  <c r="Q33" i="12"/>
  <c r="K43" i="12"/>
  <c r="N33" i="12"/>
  <c r="P44" i="12"/>
  <c r="I45" i="12"/>
  <c r="I33" i="12"/>
  <c r="K30" i="12"/>
  <c r="N25" i="12"/>
  <c r="N45" i="12"/>
  <c r="I43" i="12"/>
  <c r="I39" i="12"/>
  <c r="I41" i="12"/>
  <c r="P37" i="12"/>
  <c r="Q42" i="12"/>
  <c r="J46" i="12"/>
  <c r="P45" i="12"/>
  <c r="L29" i="12"/>
  <c r="Q27" i="12"/>
  <c r="K27" i="12"/>
  <c r="K44" i="12"/>
  <c r="I44" i="12"/>
  <c r="I49" i="12" s="1"/>
  <c r="F18" i="12"/>
  <c r="F44" i="12" s="1"/>
  <c r="L43" i="12"/>
  <c r="J44" i="12"/>
  <c r="G18" i="12"/>
  <c r="Q43" i="12"/>
  <c r="I37" i="12"/>
  <c r="K38" i="12"/>
  <c r="P38" i="12"/>
  <c r="H15" i="12"/>
  <c r="P33" i="12"/>
  <c r="Q34" i="12"/>
  <c r="G13" i="12"/>
  <c r="F13" i="12"/>
  <c r="W13" i="12" s="1"/>
  <c r="F32" i="12"/>
  <c r="F31" i="12"/>
  <c r="H12" i="12"/>
  <c r="K32" i="12"/>
  <c r="L31" i="12"/>
  <c r="G12" i="12"/>
  <c r="G31" i="12" s="1"/>
  <c r="F29" i="12"/>
  <c r="F30" i="12"/>
  <c r="L30" i="12"/>
  <c r="H11" i="12"/>
  <c r="K29" i="12"/>
  <c r="H27" i="12"/>
  <c r="H28" i="12"/>
  <c r="F10" i="12"/>
  <c r="H25" i="12"/>
  <c r="H26" i="12"/>
  <c r="T15" i="12"/>
  <c r="J36" i="12"/>
  <c r="J49" i="12" s="1"/>
  <c r="T16" i="12"/>
  <c r="I40" i="12"/>
  <c r="T9" i="12"/>
  <c r="T17" i="12"/>
  <c r="T10" i="12"/>
  <c r="T18" i="12"/>
  <c r="I25" i="12"/>
  <c r="M41" i="12"/>
  <c r="T11" i="12"/>
  <c r="T19" i="12"/>
  <c r="T12" i="12"/>
  <c r="P46" i="12"/>
  <c r="P25" i="12"/>
  <c r="J41" i="12"/>
  <c r="J39" i="12"/>
  <c r="F37" i="12"/>
  <c r="F38" i="12"/>
  <c r="F26" i="12"/>
  <c r="F25" i="12"/>
  <c r="H41" i="12"/>
  <c r="H42" i="12"/>
  <c r="H44" i="12"/>
  <c r="H43" i="12"/>
  <c r="F45" i="12"/>
  <c r="F46" i="12"/>
  <c r="L33" i="12"/>
  <c r="L34" i="12"/>
  <c r="H33" i="12"/>
  <c r="H34" i="12"/>
  <c r="M33" i="12"/>
  <c r="M34" i="12"/>
  <c r="N40" i="12"/>
  <c r="N39" i="12"/>
  <c r="F36" i="12"/>
  <c r="F35" i="12"/>
  <c r="O34" i="12"/>
  <c r="O33" i="12"/>
  <c r="N34" i="12"/>
  <c r="N43" i="12"/>
  <c r="O45" i="12"/>
  <c r="O11" i="12"/>
  <c r="M12" i="12"/>
  <c r="L14" i="12"/>
  <c r="G11" i="12"/>
  <c r="W11" i="12" s="1"/>
  <c r="G15" i="12"/>
  <c r="Q28" i="12"/>
  <c r="O7" i="12"/>
  <c r="J37" i="12"/>
  <c r="O9" i="12"/>
  <c r="G24" i="12"/>
  <c r="O14" i="12"/>
  <c r="M19" i="12"/>
  <c r="W19" i="12" s="1"/>
  <c r="L16" i="12"/>
  <c r="P40" i="12"/>
  <c r="O15" i="12"/>
  <c r="M10" i="12"/>
  <c r="L15" i="12"/>
  <c r="L46" i="12"/>
  <c r="O10" i="12"/>
  <c r="P35" i="12"/>
  <c r="F40" i="12"/>
  <c r="L10" i="12"/>
  <c r="N11" i="12"/>
  <c r="M9" i="12"/>
  <c r="O16" i="12"/>
  <c r="J45" i="12"/>
  <c r="O12" i="12"/>
  <c r="G7" i="12"/>
  <c r="G8" i="12" s="1"/>
  <c r="H7" i="12" s="1"/>
  <c r="H8" i="12" s="1"/>
  <c r="I7" i="12" s="1"/>
  <c r="I8" i="12" s="1"/>
  <c r="J7" i="12" s="1"/>
  <c r="J8" i="12" s="1"/>
  <c r="K7" i="12" s="1"/>
  <c r="K8" i="12" s="1"/>
  <c r="M14" i="12"/>
  <c r="K42" i="12"/>
  <c r="G10" i="12"/>
  <c r="O18" i="12"/>
  <c r="L24" i="12"/>
  <c r="L8" i="12"/>
  <c r="N10" i="12"/>
  <c r="N15" i="12"/>
  <c r="N8" i="12"/>
  <c r="G40" i="12"/>
  <c r="N17" i="12"/>
  <c r="W17" i="12" s="1"/>
  <c r="O17" i="12"/>
  <c r="N46" i="12"/>
  <c r="K439" i="18"/>
  <c r="O439" i="18" s="1"/>
  <c r="K438" i="18"/>
  <c r="O438" i="18" s="1"/>
  <c r="K440" i="18"/>
  <c r="O440" i="18" s="1"/>
  <c r="K437" i="18"/>
  <c r="O437" i="18" s="1"/>
  <c r="K613" i="18"/>
  <c r="O613" i="18" s="1"/>
  <c r="K612" i="18"/>
  <c r="O612" i="18" s="1"/>
  <c r="K620" i="18"/>
  <c r="O620" i="18" s="1"/>
  <c r="K611" i="18"/>
  <c r="O611" i="18" s="1"/>
  <c r="K619" i="18"/>
  <c r="O619" i="18" s="1"/>
  <c r="K618" i="18"/>
  <c r="O618" i="18" s="1"/>
  <c r="K617" i="18"/>
  <c r="O617" i="18" s="1"/>
  <c r="K614" i="18"/>
  <c r="O614" i="18" s="1"/>
  <c r="K624" i="18"/>
  <c r="O624" i="18" s="1"/>
  <c r="K641" i="18"/>
  <c r="O641" i="18" s="1"/>
  <c r="K606" i="18"/>
  <c r="O606" i="18" s="1"/>
  <c r="K635" i="18"/>
  <c r="O635" i="18" s="1"/>
  <c r="K599" i="18"/>
  <c r="O599" i="18" s="1"/>
  <c r="K593" i="18"/>
  <c r="O593" i="18" s="1"/>
  <c r="K629" i="18"/>
  <c r="O629" i="18" s="1"/>
  <c r="K605" i="18"/>
  <c r="O605" i="18" s="1"/>
  <c r="K594" i="18"/>
  <c r="O594" i="18" s="1"/>
  <c r="K630" i="18"/>
  <c r="O630" i="18" s="1"/>
  <c r="K600" i="18"/>
  <c r="O600" i="18" s="1"/>
  <c r="K623" i="18"/>
  <c r="O623" i="18" s="1"/>
  <c r="K653" i="18"/>
  <c r="O653" i="18" s="1"/>
  <c r="K421" i="18"/>
  <c r="O421" i="18" s="1"/>
  <c r="K396" i="18"/>
  <c r="O396" i="18" s="1"/>
  <c r="K402" i="18"/>
  <c r="O402" i="18" s="1"/>
  <c r="K410" i="18"/>
  <c r="O410" i="18" s="1"/>
  <c r="K420" i="18"/>
  <c r="O420" i="18" s="1"/>
  <c r="K425" i="18"/>
  <c r="O425" i="18" s="1"/>
  <c r="K419" i="18"/>
  <c r="O419" i="18" s="1"/>
  <c r="K422" i="18"/>
  <c r="O422" i="18" s="1"/>
  <c r="K401" i="18"/>
  <c r="O401" i="18" s="1"/>
  <c r="K392" i="18"/>
  <c r="O392" i="18" s="1"/>
  <c r="K415" i="18"/>
  <c r="O415" i="18" s="1"/>
  <c r="K409" i="18"/>
  <c r="O409" i="18" s="1"/>
  <c r="K404" i="18"/>
  <c r="O404" i="18" s="1"/>
  <c r="K391" i="18"/>
  <c r="O391" i="18" s="1"/>
  <c r="K414" i="18"/>
  <c r="O414" i="18" s="1"/>
  <c r="K408" i="18"/>
  <c r="O408" i="18" s="1"/>
  <c r="K427" i="18"/>
  <c r="O427" i="18" s="1"/>
  <c r="K403" i="18"/>
  <c r="O403" i="18" s="1"/>
  <c r="K390" i="18"/>
  <c r="O390" i="18" s="1"/>
  <c r="K413" i="18"/>
  <c r="O413" i="18" s="1"/>
  <c r="K407" i="18"/>
  <c r="O407" i="18" s="1"/>
  <c r="K398" i="18"/>
  <c r="O398" i="18" s="1"/>
  <c r="K426" i="18"/>
  <c r="O426" i="18" s="1"/>
  <c r="K389" i="18"/>
  <c r="O389" i="18" s="1"/>
  <c r="K416" i="18"/>
  <c r="O416" i="18" s="1"/>
  <c r="K397" i="18"/>
  <c r="O397" i="18" s="1"/>
  <c r="K428" i="18"/>
  <c r="O428" i="18" s="1"/>
  <c r="K395" i="18"/>
  <c r="O395" i="18" s="1"/>
  <c r="S236" i="18"/>
  <c r="R226" i="18"/>
  <c r="S226" i="18" s="1"/>
  <c r="K436" i="18"/>
  <c r="O436" i="18" s="1"/>
  <c r="R435" i="18"/>
  <c r="S435" i="18" s="1"/>
  <c r="R441" i="18"/>
  <c r="S441" i="18" s="1"/>
  <c r="J441" i="18"/>
  <c r="K441" i="18" s="1"/>
  <c r="O441" i="18" s="1"/>
  <c r="K27" i="14"/>
  <c r="K28" i="14"/>
  <c r="Q30" i="14"/>
  <c r="M27" i="14"/>
  <c r="I19" i="14"/>
  <c r="K15" i="14"/>
  <c r="H14" i="14"/>
  <c r="H16" i="14"/>
  <c r="J32" i="14"/>
  <c r="O12" i="14"/>
  <c r="O17" i="14"/>
  <c r="N37" i="14"/>
  <c r="N33" i="14"/>
  <c r="H15" i="14"/>
  <c r="H38" i="14" s="1"/>
  <c r="K18" i="14"/>
  <c r="Q38" i="14"/>
  <c r="M32" i="14"/>
  <c r="J14" i="14"/>
  <c r="O11" i="14"/>
  <c r="O29" i="14" s="1"/>
  <c r="I37" i="14"/>
  <c r="N46" i="14"/>
  <c r="K32" i="14"/>
  <c r="I11" i="14"/>
  <c r="J13" i="14"/>
  <c r="J33" i="14" s="1"/>
  <c r="Q13" i="14"/>
  <c r="K24" i="14"/>
  <c r="K11" i="14"/>
  <c r="O19" i="14"/>
  <c r="I18" i="14"/>
  <c r="Q16" i="14"/>
  <c r="Q40" i="14" s="1"/>
  <c r="I10" i="14"/>
  <c r="K13" i="14"/>
  <c r="L14" i="14"/>
  <c r="L35" i="14" s="1"/>
  <c r="O13" i="14"/>
  <c r="O9" i="14"/>
  <c r="M34" i="14"/>
  <c r="Q36" i="14"/>
  <c r="H10" i="14"/>
  <c r="Q12" i="14"/>
  <c r="H12" i="14"/>
  <c r="H31" i="14" s="1"/>
  <c r="Q8" i="14"/>
  <c r="K19" i="14"/>
  <c r="O24" i="14"/>
  <c r="I16" i="14"/>
  <c r="H19" i="14"/>
  <c r="O8" i="14"/>
  <c r="K14" i="14"/>
  <c r="I12" i="14"/>
  <c r="K17" i="14"/>
  <c r="Q9" i="14"/>
  <c r="Q25" i="14" s="1"/>
  <c r="H18" i="14"/>
  <c r="O7" i="14"/>
  <c r="Q18" i="14"/>
  <c r="M48" i="14"/>
  <c r="H11" i="14"/>
  <c r="Q17" i="14"/>
  <c r="Q41" i="14" s="1"/>
  <c r="I9" i="14"/>
  <c r="I25" i="14" s="1"/>
  <c r="O16" i="14"/>
  <c r="O40" i="14" s="1"/>
  <c r="O10" i="14"/>
  <c r="O28" i="14" s="1"/>
  <c r="K9" i="14"/>
  <c r="G16" i="14"/>
  <c r="G40" i="14" s="1"/>
  <c r="I33" i="14"/>
  <c r="I34" i="14"/>
  <c r="I35" i="14"/>
  <c r="I36" i="14"/>
  <c r="O36" i="14"/>
  <c r="O35" i="14"/>
  <c r="P35" i="14"/>
  <c r="P36" i="14"/>
  <c r="F30" i="14"/>
  <c r="F29" i="14"/>
  <c r="H41" i="14"/>
  <c r="H42" i="14"/>
  <c r="N40" i="14"/>
  <c r="N39" i="14"/>
  <c r="K40" i="14"/>
  <c r="F18" i="14"/>
  <c r="P43" i="14"/>
  <c r="G14" i="14"/>
  <c r="O39" i="14"/>
  <c r="N31" i="14"/>
  <c r="Q26" i="14"/>
  <c r="Q46" i="14"/>
  <c r="M44" i="14"/>
  <c r="M49" i="14" s="1"/>
  <c r="O30" i="14"/>
  <c r="O27" i="14"/>
  <c r="J40" i="14"/>
  <c r="J45" i="14"/>
  <c r="O44" i="14"/>
  <c r="G46" i="14"/>
  <c r="H37" i="14"/>
  <c r="L16" i="14"/>
  <c r="F10" i="14"/>
  <c r="L18" i="14"/>
  <c r="F12" i="14"/>
  <c r="G10" i="14"/>
  <c r="P17" i="14"/>
  <c r="L11" i="14"/>
  <c r="N28" i="14"/>
  <c r="L36" i="14"/>
  <c r="P19" i="14"/>
  <c r="P8" i="14"/>
  <c r="F15" i="14"/>
  <c r="G18" i="14"/>
  <c r="L10" i="14"/>
  <c r="J34" i="14"/>
  <c r="O38" i="14"/>
  <c r="M46" i="14"/>
  <c r="P11" i="14"/>
  <c r="F24" i="14"/>
  <c r="P13" i="14"/>
  <c r="F14" i="14"/>
  <c r="F13" i="14"/>
  <c r="G15" i="14"/>
  <c r="G9" i="14"/>
  <c r="P15" i="14"/>
  <c r="P9" i="14"/>
  <c r="P10" i="14"/>
  <c r="H13" i="14"/>
  <c r="L12" i="14"/>
  <c r="G13" i="14"/>
  <c r="G17" i="14"/>
  <c r="F16" i="14"/>
  <c r="L9" i="14"/>
  <c r="G7" i="14"/>
  <c r="G8" i="14" s="1"/>
  <c r="H7" i="14" s="1"/>
  <c r="H8" i="14" s="1"/>
  <c r="I7" i="14" s="1"/>
  <c r="I8" i="14" s="1"/>
  <c r="J7" i="14" s="1"/>
  <c r="J8" i="14" s="1"/>
  <c r="K7" i="14" s="1"/>
  <c r="K8" i="14" s="1"/>
  <c r="N44" i="14"/>
  <c r="I26" i="14"/>
  <c r="I42" i="14"/>
  <c r="H32" i="14"/>
  <c r="F17" i="14"/>
  <c r="F19" i="14"/>
  <c r="G12" i="14"/>
  <c r="L8" i="14"/>
  <c r="L15" i="14"/>
  <c r="F9" i="14"/>
  <c r="P12" i="14"/>
  <c r="L17" i="14"/>
  <c r="G11" i="14"/>
  <c r="L19" i="14"/>
  <c r="J235" i="18"/>
  <c r="J651" i="18"/>
  <c r="J288" i="18"/>
  <c r="J339" i="18"/>
  <c r="K339" i="18" s="1"/>
  <c r="J279" i="18"/>
  <c r="J303" i="18"/>
  <c r="K303" i="18" s="1"/>
  <c r="J381" i="18"/>
  <c r="J411" i="18"/>
  <c r="J263" i="18"/>
  <c r="J297" i="18"/>
  <c r="J309" i="18"/>
  <c r="K309" i="18" s="1"/>
  <c r="J387" i="18"/>
  <c r="J321" i="18"/>
  <c r="K321" i="18" s="1"/>
  <c r="J351" i="18"/>
  <c r="J429" i="18"/>
  <c r="J621" i="18"/>
  <c r="K621" i="18" s="1"/>
  <c r="J273" i="18"/>
  <c r="J327" i="18"/>
  <c r="K327" i="18" s="1"/>
  <c r="J357" i="18"/>
  <c r="J435" i="18"/>
  <c r="J369" i="18"/>
  <c r="J399" i="18"/>
  <c r="J591" i="18"/>
  <c r="J285" i="18"/>
  <c r="J375" i="18"/>
  <c r="J405" i="18"/>
  <c r="J586" i="18"/>
  <c r="J417" i="18"/>
  <c r="J609" i="18"/>
  <c r="J639" i="18"/>
  <c r="J345" i="18"/>
  <c r="K345" i="18" s="1"/>
  <c r="J423" i="18"/>
  <c r="J584" i="18"/>
  <c r="J597" i="18"/>
  <c r="J588" i="18"/>
  <c r="J657" i="18"/>
  <c r="J233" i="18"/>
  <c r="J393" i="18"/>
  <c r="J582" i="18"/>
  <c r="J615" i="18"/>
  <c r="K615" i="18" s="1"/>
  <c r="J645" i="18"/>
  <c r="J627" i="18"/>
  <c r="J231" i="18"/>
  <c r="J294" i="18"/>
  <c r="J447" i="18"/>
  <c r="J633" i="18"/>
  <c r="J663" i="18"/>
  <c r="J258" i="18"/>
  <c r="J229" i="18"/>
  <c r="J282" i="18"/>
  <c r="J315" i="18"/>
  <c r="K315" i="18" s="1"/>
  <c r="J603" i="18"/>
  <c r="J276" i="18"/>
  <c r="J300" i="18"/>
  <c r="J268" i="18"/>
  <c r="J291" i="18"/>
  <c r="J333" i="18"/>
  <c r="K333" i="18" s="1"/>
  <c r="J363" i="18"/>
  <c r="O69" i="18"/>
  <c r="O121" i="18"/>
  <c r="O143" i="18"/>
  <c r="O374" i="18"/>
  <c r="O175" i="18"/>
  <c r="O150" i="18"/>
  <c r="O28" i="18"/>
  <c r="O79" i="18"/>
  <c r="O281" i="18"/>
  <c r="O167" i="18"/>
  <c r="O159" i="18"/>
  <c r="O118" i="18"/>
  <c r="O73" i="18"/>
  <c r="O83" i="18"/>
  <c r="O87" i="18"/>
  <c r="O139" i="18"/>
  <c r="O290" i="18"/>
  <c r="O379" i="18"/>
  <c r="O434" i="18"/>
  <c r="O195" i="18"/>
  <c r="O302" i="18"/>
  <c r="O383" i="18"/>
  <c r="O133" i="18"/>
  <c r="O153" i="18"/>
  <c r="O29" i="18"/>
  <c r="O32" i="18"/>
  <c r="O70" i="18"/>
  <c r="O80" i="18"/>
  <c r="O299" i="18"/>
  <c r="O371" i="18"/>
  <c r="O384" i="18"/>
  <c r="O84" i="18"/>
  <c r="O136" i="18"/>
  <c r="O88" i="18"/>
  <c r="O130" i="18"/>
  <c r="O156" i="18"/>
  <c r="O179" i="18"/>
  <c r="O147" i="18"/>
  <c r="O26" i="18"/>
  <c r="O37" i="18"/>
  <c r="O81" i="18"/>
  <c r="O119" i="18"/>
  <c r="O287" i="18"/>
  <c r="O296" i="18"/>
  <c r="O372" i="18"/>
  <c r="O385" i="18"/>
  <c r="O131" i="18"/>
  <c r="O41" i="18"/>
  <c r="O431" i="18"/>
  <c r="O35" i="18"/>
  <c r="O134" i="18"/>
  <c r="O135" i="18"/>
  <c r="O20" i="18"/>
  <c r="O85" i="18"/>
  <c r="O89" i="18"/>
  <c r="O137" i="18"/>
  <c r="O275" i="18"/>
  <c r="O377" i="18"/>
  <c r="O432" i="18"/>
  <c r="O278" i="18"/>
  <c r="O129" i="18"/>
  <c r="O27" i="18"/>
  <c r="O38" i="18"/>
  <c r="O78" i="18"/>
  <c r="O120" i="18"/>
  <c r="O132" i="18"/>
  <c r="O142" i="18"/>
  <c r="O284" i="18"/>
  <c r="O293" i="18"/>
  <c r="O373" i="18"/>
  <c r="O386" i="18"/>
  <c r="O117" i="18"/>
  <c r="O19" i="18"/>
  <c r="O140" i="18"/>
  <c r="O380" i="18"/>
  <c r="O171" i="18"/>
  <c r="O21" i="18"/>
  <c r="O24" i="18"/>
  <c r="O72" i="18"/>
  <c r="O86" i="18"/>
  <c r="O138" i="18"/>
  <c r="O378" i="18"/>
  <c r="O433" i="18"/>
  <c r="K1791" i="18"/>
  <c r="O1791" i="18" s="1"/>
  <c r="K1792" i="18"/>
  <c r="O1792" i="18" s="1"/>
  <c r="K1790" i="18"/>
  <c r="O1790" i="18" s="1"/>
  <c r="K1789" i="18"/>
  <c r="O1789" i="18" s="1"/>
  <c r="K1649" i="18"/>
  <c r="O1649" i="18" s="1"/>
  <c r="K1650" i="18"/>
  <c r="O1650" i="18" s="1"/>
  <c r="K1648" i="18"/>
  <c r="O1648" i="18" s="1"/>
  <c r="K1651" i="18"/>
  <c r="O1651" i="18" s="1"/>
  <c r="K1653" i="18"/>
  <c r="O1653" i="18" s="1"/>
  <c r="K1647" i="18"/>
  <c r="O1647" i="18" s="1"/>
  <c r="K1654" i="18"/>
  <c r="O1654" i="18" s="1"/>
  <c r="K1652" i="18"/>
  <c r="O1652" i="18" s="1"/>
  <c r="K1645" i="18"/>
  <c r="O1645" i="18" s="1"/>
  <c r="K1646" i="18"/>
  <c r="O1646" i="18" s="1"/>
  <c r="K546" i="18"/>
  <c r="O546" i="18" s="1"/>
  <c r="K547" i="18"/>
  <c r="O547" i="18" s="1"/>
  <c r="K539" i="18"/>
  <c r="O539" i="18" s="1"/>
  <c r="K540" i="18"/>
  <c r="O540" i="18" s="1"/>
  <c r="K128" i="18"/>
  <c r="O128" i="18" s="1"/>
  <c r="K123" i="18"/>
  <c r="O123" i="18" s="1"/>
  <c r="K126" i="18"/>
  <c r="O126" i="18" s="1"/>
  <c r="K122" i="18"/>
  <c r="O122" i="18" s="1"/>
  <c r="K124" i="18"/>
  <c r="O124" i="18" s="1"/>
  <c r="K125" i="18"/>
  <c r="O125" i="18" s="1"/>
  <c r="K127" i="18"/>
  <c r="O127" i="18" s="1"/>
  <c r="K1679" i="18"/>
  <c r="O1679" i="18" s="1"/>
  <c r="K1680" i="18"/>
  <c r="O1680" i="18" s="1"/>
  <c r="K1678" i="18"/>
  <c r="O1678" i="18" s="1"/>
  <c r="K1681" i="18"/>
  <c r="O1681" i="18" s="1"/>
  <c r="K1682" i="18"/>
  <c r="O1682" i="18" s="1"/>
  <c r="K1774" i="18"/>
  <c r="O1774" i="18" s="1"/>
  <c r="K1773" i="18"/>
  <c r="O1773" i="18" s="1"/>
  <c r="S139" i="18"/>
  <c r="R1773" i="18"/>
  <c r="S1773" i="18" s="1"/>
  <c r="S140" i="18"/>
  <c r="R1774" i="18"/>
  <c r="S1774" i="18" s="1"/>
  <c r="K616" i="18"/>
  <c r="O616" i="18" s="1"/>
  <c r="K610" i="18"/>
  <c r="O610" i="18" s="1"/>
  <c r="K163" i="18"/>
  <c r="K144" i="18"/>
  <c r="K264" i="18"/>
  <c r="O264" i="18" s="1"/>
  <c r="K2613" i="18"/>
  <c r="O2613" i="18" s="1"/>
  <c r="K328" i="18"/>
  <c r="O328" i="18" s="1"/>
  <c r="K322" i="18"/>
  <c r="O322" i="18" s="1"/>
  <c r="R1785" i="18"/>
  <c r="S1785" i="18" s="1"/>
  <c r="R1775" i="18"/>
  <c r="S1775" i="18" s="1"/>
  <c r="R285" i="18"/>
  <c r="S285" i="18" s="1"/>
  <c r="R1919" i="18"/>
  <c r="S1919" i="18" s="1"/>
  <c r="R300" i="18"/>
  <c r="S300" i="18" s="1"/>
  <c r="R1849" i="18"/>
  <c r="S1849" i="18" s="1"/>
  <c r="R2021" i="18"/>
  <c r="S2021" i="18" s="1"/>
  <c r="R1862" i="18"/>
  <c r="S1862" i="18" s="1"/>
  <c r="R1802" i="18"/>
  <c r="S1802" i="18" s="1"/>
  <c r="R1801" i="18"/>
  <c r="S1801" i="18" s="1"/>
  <c r="R1913" i="18"/>
  <c r="S1913" i="18" s="1"/>
  <c r="R2022" i="18"/>
  <c r="S2022" i="18" s="1"/>
  <c r="R1843" i="18"/>
  <c r="S1843" i="18" s="1"/>
  <c r="R1839" i="18"/>
  <c r="S1839" i="18" s="1"/>
  <c r="R1858" i="18"/>
  <c r="S1858" i="18" s="1"/>
  <c r="R1838" i="18"/>
  <c r="S1838" i="18" s="1"/>
  <c r="R1823" i="18"/>
  <c r="S1823" i="18" s="1"/>
  <c r="R1830" i="18"/>
  <c r="S1830" i="18" s="1"/>
  <c r="R1778" i="18"/>
  <c r="S1778" i="18" s="1"/>
  <c r="R279" i="18"/>
  <c r="S279" i="18" s="1"/>
  <c r="R1786" i="18"/>
  <c r="S1786" i="18" s="1"/>
  <c r="R1845" i="18"/>
  <c r="S1845" i="18" s="1"/>
  <c r="R291" i="18"/>
  <c r="S291" i="18" s="1"/>
  <c r="R1797" i="18"/>
  <c r="S1797" i="18" s="1"/>
  <c r="R1781" i="18"/>
  <c r="S1781" i="18" s="1"/>
  <c r="R294" i="18"/>
  <c r="S294" i="18" s="1"/>
  <c r="R1805" i="18"/>
  <c r="S1805" i="18" s="1"/>
  <c r="R1918" i="18"/>
  <c r="S1918" i="18" s="1"/>
  <c r="R1804" i="18"/>
  <c r="S1804" i="18" s="1"/>
  <c r="R1813" i="18"/>
  <c r="S1813" i="18" s="1"/>
  <c r="R1865" i="18"/>
  <c r="S1865" i="18" s="1"/>
  <c r="R258" i="18"/>
  <c r="S258" i="18" s="1"/>
  <c r="R1814" i="18"/>
  <c r="S1814" i="18" s="1"/>
  <c r="R1921" i="18"/>
  <c r="S1921" i="18" s="1"/>
  <c r="R1810" i="18"/>
  <c r="S1810" i="18" s="1"/>
  <c r="R1829" i="18"/>
  <c r="S1829" i="18" s="1"/>
  <c r="R1809" i="18"/>
  <c r="S1809" i="18" s="1"/>
  <c r="R276" i="18"/>
  <c r="S276" i="18" s="1"/>
  <c r="R303" i="18"/>
  <c r="S303" i="18" s="1"/>
  <c r="R1837" i="18"/>
  <c r="S1837" i="18" s="1"/>
  <c r="R1817" i="18"/>
  <c r="S1817" i="18" s="1"/>
  <c r="R1854" i="18"/>
  <c r="S1854" i="18" s="1"/>
  <c r="R1806" i="18"/>
  <c r="S1806" i="18" s="1"/>
  <c r="R1847" i="18"/>
  <c r="S1847" i="18" s="1"/>
  <c r="R263" i="18"/>
  <c r="S263" i="18" s="1"/>
  <c r="R1861" i="18"/>
  <c r="S1861" i="18" s="1"/>
  <c r="R1794" i="18"/>
  <c r="S1794" i="18" s="1"/>
  <c r="R1869" i="18"/>
  <c r="S1869" i="18" s="1"/>
  <c r="R1857" i="18"/>
  <c r="S1857" i="18" s="1"/>
  <c r="R1835" i="18"/>
  <c r="S1835" i="18" s="1"/>
  <c r="R1871" i="18"/>
  <c r="S1871" i="18" s="1"/>
  <c r="R282" i="18"/>
  <c r="S282" i="18" s="1"/>
  <c r="R1776" i="18"/>
  <c r="S1776" i="18" s="1"/>
  <c r="R1798" i="18"/>
  <c r="S1798" i="18" s="1"/>
  <c r="R1833" i="18"/>
  <c r="S1833" i="18" s="1"/>
  <c r="R1842" i="18"/>
  <c r="S1842" i="18" s="1"/>
  <c r="R1914" i="18"/>
  <c r="S1914" i="18" s="1"/>
  <c r="R1841" i="18"/>
  <c r="S1841" i="18" s="1"/>
  <c r="R1827" i="18"/>
  <c r="S1827" i="18" s="1"/>
  <c r="R1821" i="18"/>
  <c r="S1821" i="18" s="1"/>
  <c r="R1779" i="18"/>
  <c r="S1779" i="18" s="1"/>
  <c r="R1793" i="18"/>
  <c r="S1793" i="18" s="1"/>
  <c r="R1926" i="18"/>
  <c r="S1926" i="18" s="1"/>
  <c r="R1796" i="18"/>
  <c r="S1796" i="18" s="1"/>
  <c r="R1853" i="18"/>
  <c r="S1853" i="18" s="1"/>
  <c r="R1811" i="18"/>
  <c r="S1811" i="18" s="1"/>
  <c r="R1846" i="18"/>
  <c r="S1846" i="18" s="1"/>
  <c r="R1808" i="18"/>
  <c r="S1808" i="18" s="1"/>
  <c r="R1866" i="18"/>
  <c r="S1866" i="18" s="1"/>
  <c r="R1826" i="18"/>
  <c r="S1826" i="18" s="1"/>
  <c r="R1800" i="18"/>
  <c r="S1800" i="18" s="1"/>
  <c r="R1819" i="18"/>
  <c r="S1819" i="18" s="1"/>
  <c r="R1925" i="18"/>
  <c r="S1925" i="18" s="1"/>
  <c r="S375" i="18"/>
  <c r="S357" i="18"/>
  <c r="R321" i="18"/>
  <c r="S321" i="18" s="1"/>
  <c r="S153" i="18"/>
  <c r="R417" i="18"/>
  <c r="S417" i="18" s="1"/>
  <c r="S237" i="18"/>
  <c r="R429" i="18"/>
  <c r="S429" i="18" s="1"/>
  <c r="S249" i="18"/>
  <c r="R302" i="18"/>
  <c r="S302" i="18" s="1"/>
  <c r="S301" i="18"/>
  <c r="R599" i="18"/>
  <c r="S599" i="18" s="1"/>
  <c r="R602" i="18"/>
  <c r="S602" i="18" s="1"/>
  <c r="R601" i="18"/>
  <c r="S601" i="18" s="1"/>
  <c r="R600" i="18"/>
  <c r="S600" i="18" s="1"/>
  <c r="S598" i="18"/>
  <c r="R2012" i="18"/>
  <c r="S2012" i="18" s="1"/>
  <c r="R2011" i="18"/>
  <c r="S2011" i="18" s="1"/>
  <c r="R2010" i="18"/>
  <c r="S2010" i="18" s="1"/>
  <c r="S2009" i="18"/>
  <c r="R2043" i="18"/>
  <c r="S2043" i="18" s="1"/>
  <c r="R2042" i="18"/>
  <c r="S2042" i="18" s="1"/>
  <c r="S2041" i="18"/>
  <c r="R2044" i="18"/>
  <c r="S2044" i="18" s="1"/>
  <c r="R2151" i="18"/>
  <c r="S2151" i="18" s="1"/>
  <c r="R2150" i="18"/>
  <c r="S2150" i="18" s="1"/>
  <c r="R2149" i="18"/>
  <c r="S2149" i="18" s="1"/>
  <c r="R2148" i="18"/>
  <c r="S2148" i="18" s="1"/>
  <c r="R2147" i="18"/>
  <c r="S2147" i="18" s="1"/>
  <c r="S2146" i="18"/>
  <c r="R2199" i="18"/>
  <c r="S2199" i="18" s="1"/>
  <c r="R2198" i="18"/>
  <c r="S2198" i="18" s="1"/>
  <c r="R2197" i="18"/>
  <c r="S2197" i="18" s="1"/>
  <c r="R2196" i="18"/>
  <c r="S2196" i="18" s="1"/>
  <c r="R2195" i="18"/>
  <c r="S2195" i="18" s="1"/>
  <c r="S2194" i="18"/>
  <c r="R2247" i="18"/>
  <c r="S2247" i="18" s="1"/>
  <c r="R2246" i="18"/>
  <c r="S2246" i="18" s="1"/>
  <c r="R2245" i="18"/>
  <c r="S2245" i="18" s="1"/>
  <c r="R2244" i="18"/>
  <c r="S2244" i="18" s="1"/>
  <c r="R2243" i="18"/>
  <c r="S2243" i="18" s="1"/>
  <c r="S2242" i="18"/>
  <c r="R2295" i="18"/>
  <c r="S2295" i="18" s="1"/>
  <c r="R2294" i="18"/>
  <c r="S2294" i="18" s="1"/>
  <c r="R2293" i="18"/>
  <c r="S2293" i="18" s="1"/>
  <c r="R2292" i="18"/>
  <c r="S2292" i="18" s="1"/>
  <c r="R2291" i="18"/>
  <c r="S2291" i="18" s="1"/>
  <c r="S2290" i="18"/>
  <c r="R2343" i="18"/>
  <c r="S2343" i="18" s="1"/>
  <c r="R2342" i="18"/>
  <c r="S2342" i="18" s="1"/>
  <c r="R2341" i="18"/>
  <c r="S2341" i="18" s="1"/>
  <c r="R2340" i="18"/>
  <c r="S2340" i="18" s="1"/>
  <c r="R2339" i="18"/>
  <c r="S2339" i="18" s="1"/>
  <c r="S2338" i="18"/>
  <c r="R2391" i="18"/>
  <c r="S2391" i="18" s="1"/>
  <c r="R2390" i="18"/>
  <c r="S2390" i="18" s="1"/>
  <c r="R2389" i="18"/>
  <c r="S2389" i="18" s="1"/>
  <c r="R2388" i="18"/>
  <c r="S2388" i="18" s="1"/>
  <c r="R2387" i="18"/>
  <c r="S2387" i="18" s="1"/>
  <c r="S2386" i="18"/>
  <c r="R2439" i="18"/>
  <c r="S2439" i="18" s="1"/>
  <c r="R2438" i="18"/>
  <c r="S2438" i="18" s="1"/>
  <c r="R2437" i="18"/>
  <c r="S2437" i="18" s="1"/>
  <c r="R2436" i="18"/>
  <c r="S2436" i="18" s="1"/>
  <c r="R2435" i="18"/>
  <c r="S2435" i="18" s="1"/>
  <c r="S2434" i="18"/>
  <c r="R2487" i="18"/>
  <c r="S2487" i="18" s="1"/>
  <c r="R2486" i="18"/>
  <c r="S2486" i="18" s="1"/>
  <c r="R2485" i="18"/>
  <c r="S2485" i="18" s="1"/>
  <c r="R2484" i="18"/>
  <c r="S2484" i="18" s="1"/>
  <c r="R2483" i="18"/>
  <c r="S2483" i="18" s="1"/>
  <c r="S2482" i="18"/>
  <c r="R2533" i="18"/>
  <c r="S2533" i="18" s="1"/>
  <c r="R2532" i="18"/>
  <c r="S2532" i="18" s="1"/>
  <c r="R2531" i="18"/>
  <c r="S2531" i="18" s="1"/>
  <c r="R2535" i="18"/>
  <c r="S2535" i="18" s="1"/>
  <c r="R2534" i="18"/>
  <c r="S2534" i="18" s="1"/>
  <c r="S2530" i="18"/>
  <c r="R393" i="18"/>
  <c r="S393" i="18" s="1"/>
  <c r="S213" i="18"/>
  <c r="R281" i="18"/>
  <c r="S281" i="18" s="1"/>
  <c r="S280" i="18"/>
  <c r="R608" i="18"/>
  <c r="S608" i="18" s="1"/>
  <c r="R607" i="18"/>
  <c r="S607" i="18" s="1"/>
  <c r="R606" i="18"/>
  <c r="S606" i="18" s="1"/>
  <c r="S604" i="18"/>
  <c r="R605" i="18"/>
  <c r="S605" i="18" s="1"/>
  <c r="R623" i="18"/>
  <c r="S623" i="18" s="1"/>
  <c r="R626" i="18"/>
  <c r="S626" i="18" s="1"/>
  <c r="R625" i="18"/>
  <c r="S625" i="18" s="1"/>
  <c r="S622" i="18"/>
  <c r="R624" i="18"/>
  <c r="S624" i="18" s="1"/>
  <c r="R629" i="18"/>
  <c r="S629" i="18" s="1"/>
  <c r="R632" i="18"/>
  <c r="S632" i="18" s="1"/>
  <c r="R631" i="18"/>
  <c r="S631" i="18" s="1"/>
  <c r="S628" i="18"/>
  <c r="R630" i="18"/>
  <c r="S630" i="18" s="1"/>
  <c r="R638" i="18"/>
  <c r="S638" i="18" s="1"/>
  <c r="R637" i="18"/>
  <c r="S637" i="18" s="1"/>
  <c r="R636" i="18"/>
  <c r="S636" i="18" s="1"/>
  <c r="R635" i="18"/>
  <c r="S635" i="18" s="1"/>
  <c r="S634" i="18"/>
  <c r="R1944" i="18"/>
  <c r="S1944" i="18" s="1"/>
  <c r="R1943" i="18"/>
  <c r="S1943" i="18" s="1"/>
  <c r="R1942" i="18"/>
  <c r="S1942" i="18" s="1"/>
  <c r="S1941" i="18"/>
  <c r="S1961" i="18"/>
  <c r="R1964" i="18"/>
  <c r="S1964" i="18" s="1"/>
  <c r="R1963" i="18"/>
  <c r="S1963" i="18" s="1"/>
  <c r="R1962" i="18"/>
  <c r="S1962" i="18" s="1"/>
  <c r="R1984" i="18"/>
  <c r="S1984" i="18" s="1"/>
  <c r="R1983" i="18"/>
  <c r="S1983" i="18" s="1"/>
  <c r="R1982" i="18"/>
  <c r="S1982" i="18" s="1"/>
  <c r="S1981" i="18"/>
  <c r="R2054" i="18"/>
  <c r="S2054" i="18" s="1"/>
  <c r="R2056" i="18"/>
  <c r="S2056" i="18" s="1"/>
  <c r="R2055" i="18"/>
  <c r="S2055" i="18" s="1"/>
  <c r="S2053" i="18"/>
  <c r="R2084" i="18"/>
  <c r="S2084" i="18" s="1"/>
  <c r="R2083" i="18"/>
  <c r="S2083" i="18" s="1"/>
  <c r="R2082" i="18"/>
  <c r="S2082" i="18" s="1"/>
  <c r="R2085" i="18"/>
  <c r="S2085" i="18" s="1"/>
  <c r="S2081" i="18"/>
  <c r="R2104" i="18"/>
  <c r="S2104" i="18" s="1"/>
  <c r="R2103" i="18"/>
  <c r="S2103" i="18" s="1"/>
  <c r="R2102" i="18"/>
  <c r="S2102" i="18" s="1"/>
  <c r="R2105" i="18"/>
  <c r="S2105" i="18" s="1"/>
  <c r="S2101" i="18"/>
  <c r="R2153" i="18"/>
  <c r="S2153" i="18" s="1"/>
  <c r="R2157" i="18"/>
  <c r="S2157" i="18" s="1"/>
  <c r="R2156" i="18"/>
  <c r="S2156" i="18" s="1"/>
  <c r="R2155" i="18"/>
  <c r="S2155" i="18" s="1"/>
  <c r="R2154" i="18"/>
  <c r="S2154" i="18" s="1"/>
  <c r="S2152" i="18"/>
  <c r="R2201" i="18"/>
  <c r="S2201" i="18" s="1"/>
  <c r="R2205" i="18"/>
  <c r="S2205" i="18" s="1"/>
  <c r="R2204" i="18"/>
  <c r="S2204" i="18" s="1"/>
  <c r="R2203" i="18"/>
  <c r="S2203" i="18" s="1"/>
  <c r="R2202" i="18"/>
  <c r="S2202" i="18" s="1"/>
  <c r="S2200" i="18"/>
  <c r="R2249" i="18"/>
  <c r="S2249" i="18" s="1"/>
  <c r="R2253" i="18"/>
  <c r="S2253" i="18" s="1"/>
  <c r="R2252" i="18"/>
  <c r="S2252" i="18" s="1"/>
  <c r="R2251" i="18"/>
  <c r="S2251" i="18" s="1"/>
  <c r="R2250" i="18"/>
  <c r="S2250" i="18" s="1"/>
  <c r="S2248" i="18"/>
  <c r="R2297" i="18"/>
  <c r="S2297" i="18" s="1"/>
  <c r="R2301" i="18"/>
  <c r="S2301" i="18" s="1"/>
  <c r="R2300" i="18"/>
  <c r="S2300" i="18" s="1"/>
  <c r="R2299" i="18"/>
  <c r="S2299" i="18" s="1"/>
  <c r="R2298" i="18"/>
  <c r="S2298" i="18" s="1"/>
  <c r="S2296" i="18"/>
  <c r="R2345" i="18"/>
  <c r="S2345" i="18" s="1"/>
  <c r="R2349" i="18"/>
  <c r="S2349" i="18" s="1"/>
  <c r="R2348" i="18"/>
  <c r="S2348" i="18" s="1"/>
  <c r="R2347" i="18"/>
  <c r="S2347" i="18" s="1"/>
  <c r="R2346" i="18"/>
  <c r="S2346" i="18" s="1"/>
  <c r="S2344" i="18"/>
  <c r="R2393" i="18"/>
  <c r="S2393" i="18" s="1"/>
  <c r="R2397" i="18"/>
  <c r="S2397" i="18" s="1"/>
  <c r="R2396" i="18"/>
  <c r="S2396" i="18" s="1"/>
  <c r="R2395" i="18"/>
  <c r="S2395" i="18" s="1"/>
  <c r="S2392" i="18"/>
  <c r="R2394" i="18"/>
  <c r="S2394" i="18" s="1"/>
  <c r="R2441" i="18"/>
  <c r="S2441" i="18" s="1"/>
  <c r="R2445" i="18"/>
  <c r="S2445" i="18" s="1"/>
  <c r="R2444" i="18"/>
  <c r="S2444" i="18" s="1"/>
  <c r="R2443" i="18"/>
  <c r="S2443" i="18" s="1"/>
  <c r="R2442" i="18"/>
  <c r="S2442" i="18" s="1"/>
  <c r="S2440" i="18"/>
  <c r="R2489" i="18"/>
  <c r="S2489" i="18" s="1"/>
  <c r="R2493" i="18"/>
  <c r="S2493" i="18" s="1"/>
  <c r="R2492" i="18"/>
  <c r="S2492" i="18" s="1"/>
  <c r="R2491" i="18"/>
  <c r="S2491" i="18" s="1"/>
  <c r="R2490" i="18"/>
  <c r="S2490" i="18" s="1"/>
  <c r="S2488" i="18"/>
  <c r="R2541" i="18"/>
  <c r="S2541" i="18" s="1"/>
  <c r="R2540" i="18"/>
  <c r="S2540" i="18" s="1"/>
  <c r="R2539" i="18"/>
  <c r="S2539" i="18" s="1"/>
  <c r="R2538" i="18"/>
  <c r="S2538" i="18" s="1"/>
  <c r="R2537" i="18"/>
  <c r="S2537" i="18" s="1"/>
  <c r="S2536" i="18"/>
  <c r="R315" i="18"/>
  <c r="S315" i="18" s="1"/>
  <c r="S147" i="18"/>
  <c r="S273" i="18"/>
  <c r="R278" i="18"/>
  <c r="S278" i="18" s="1"/>
  <c r="S277" i="18"/>
  <c r="R290" i="18"/>
  <c r="S290" i="18" s="1"/>
  <c r="S289" i="18"/>
  <c r="R299" i="18"/>
  <c r="S299" i="18" s="1"/>
  <c r="S298" i="18"/>
  <c r="R1955" i="18"/>
  <c r="S1955" i="18" s="1"/>
  <c r="R1954" i="18"/>
  <c r="S1954" i="18" s="1"/>
  <c r="R1956" i="18"/>
  <c r="S1956" i="18" s="1"/>
  <c r="S1953" i="18"/>
  <c r="S1973" i="18"/>
  <c r="R1976" i="18"/>
  <c r="S1976" i="18" s="1"/>
  <c r="R1975" i="18"/>
  <c r="S1975" i="18" s="1"/>
  <c r="R1974" i="18"/>
  <c r="S1974" i="18" s="1"/>
  <c r="R2004" i="18"/>
  <c r="S2004" i="18" s="1"/>
  <c r="R2003" i="18"/>
  <c r="S2003" i="18" s="1"/>
  <c r="R2002" i="18"/>
  <c r="S2002" i="18" s="1"/>
  <c r="S2001" i="18"/>
  <c r="R2034" i="18"/>
  <c r="S2034" i="18" s="1"/>
  <c r="R2036" i="18"/>
  <c r="S2036" i="18" s="1"/>
  <c r="R2035" i="18"/>
  <c r="S2035" i="18" s="1"/>
  <c r="S2033" i="18"/>
  <c r="R2162" i="18"/>
  <c r="S2162" i="18" s="1"/>
  <c r="R2161" i="18"/>
  <c r="S2161" i="18" s="1"/>
  <c r="R2160" i="18"/>
  <c r="S2160" i="18" s="1"/>
  <c r="R2159" i="18"/>
  <c r="S2159" i="18" s="1"/>
  <c r="R2163" i="18"/>
  <c r="S2163" i="18" s="1"/>
  <c r="S2158" i="18"/>
  <c r="R2210" i="18"/>
  <c r="S2210" i="18" s="1"/>
  <c r="R2209" i="18"/>
  <c r="S2209" i="18" s="1"/>
  <c r="R2208" i="18"/>
  <c r="S2208" i="18" s="1"/>
  <c r="R2207" i="18"/>
  <c r="S2207" i="18" s="1"/>
  <c r="R2211" i="18"/>
  <c r="S2211" i="18" s="1"/>
  <c r="S2206" i="18"/>
  <c r="R2258" i="18"/>
  <c r="S2258" i="18" s="1"/>
  <c r="R2257" i="18"/>
  <c r="S2257" i="18" s="1"/>
  <c r="R2256" i="18"/>
  <c r="S2256" i="18" s="1"/>
  <c r="R2255" i="18"/>
  <c r="S2255" i="18" s="1"/>
  <c r="R2259" i="18"/>
  <c r="S2259" i="18" s="1"/>
  <c r="S2254" i="18"/>
  <c r="R2306" i="18"/>
  <c r="S2306" i="18" s="1"/>
  <c r="R2305" i="18"/>
  <c r="S2305" i="18" s="1"/>
  <c r="R2304" i="18"/>
  <c r="S2304" i="18" s="1"/>
  <c r="R2303" i="18"/>
  <c r="S2303" i="18" s="1"/>
  <c r="R2307" i="18"/>
  <c r="S2307" i="18" s="1"/>
  <c r="S2302" i="18"/>
  <c r="R2354" i="18"/>
  <c r="S2354" i="18" s="1"/>
  <c r="R2353" i="18"/>
  <c r="S2353" i="18" s="1"/>
  <c r="R2352" i="18"/>
  <c r="S2352" i="18" s="1"/>
  <c r="R2351" i="18"/>
  <c r="S2351" i="18" s="1"/>
  <c r="R2355" i="18"/>
  <c r="S2355" i="18" s="1"/>
  <c r="S2350" i="18"/>
  <c r="R2402" i="18"/>
  <c r="S2402" i="18" s="1"/>
  <c r="R2401" i="18"/>
  <c r="S2401" i="18" s="1"/>
  <c r="R2400" i="18"/>
  <c r="S2400" i="18" s="1"/>
  <c r="R2399" i="18"/>
  <c r="S2399" i="18" s="1"/>
  <c r="R2403" i="18"/>
  <c r="S2403" i="18" s="1"/>
  <c r="S2398" i="18"/>
  <c r="R2450" i="18"/>
  <c r="S2450" i="18" s="1"/>
  <c r="R2449" i="18"/>
  <c r="S2449" i="18" s="1"/>
  <c r="R2448" i="18"/>
  <c r="S2448" i="18" s="1"/>
  <c r="R2447" i="18"/>
  <c r="S2447" i="18" s="1"/>
  <c r="R2451" i="18"/>
  <c r="S2451" i="18" s="1"/>
  <c r="S2446" i="18"/>
  <c r="R2498" i="18"/>
  <c r="S2498" i="18" s="1"/>
  <c r="R2497" i="18"/>
  <c r="S2497" i="18" s="1"/>
  <c r="R2496" i="18"/>
  <c r="S2496" i="18" s="1"/>
  <c r="R2495" i="18"/>
  <c r="S2495" i="18" s="1"/>
  <c r="R2499" i="18"/>
  <c r="S2499" i="18" s="1"/>
  <c r="S2494" i="18"/>
  <c r="R2543" i="18"/>
  <c r="S2543" i="18" s="1"/>
  <c r="R2547" i="18"/>
  <c r="S2547" i="18" s="1"/>
  <c r="R2546" i="18"/>
  <c r="S2546" i="18" s="1"/>
  <c r="R2545" i="18"/>
  <c r="S2545" i="18" s="1"/>
  <c r="R2544" i="18"/>
  <c r="S2544" i="18" s="1"/>
  <c r="S2542" i="18"/>
  <c r="R351" i="18"/>
  <c r="S351" i="18" s="1"/>
  <c r="S171" i="18"/>
  <c r="R399" i="18"/>
  <c r="S399" i="18" s="1"/>
  <c r="S219" i="18"/>
  <c r="R380" i="18"/>
  <c r="S380" i="18" s="1"/>
  <c r="R379" i="18"/>
  <c r="S379" i="18" s="1"/>
  <c r="R378" i="18"/>
  <c r="S378" i="18" s="1"/>
  <c r="R377" i="18"/>
  <c r="S377" i="18" s="1"/>
  <c r="S376" i="18"/>
  <c r="S430" i="18"/>
  <c r="R434" i="18"/>
  <c r="S434" i="18" s="1"/>
  <c r="R433" i="18"/>
  <c r="S433" i="18" s="1"/>
  <c r="R432" i="18"/>
  <c r="S432" i="18" s="1"/>
  <c r="R431" i="18"/>
  <c r="S431" i="18" s="1"/>
  <c r="R1996" i="18"/>
  <c r="S1996" i="18" s="1"/>
  <c r="R1995" i="18"/>
  <c r="S1995" i="18" s="1"/>
  <c r="R1994" i="18"/>
  <c r="S1994" i="18" s="1"/>
  <c r="S1993" i="18"/>
  <c r="R2016" i="18"/>
  <c r="S2016" i="18" s="1"/>
  <c r="R2015" i="18"/>
  <c r="S2015" i="18" s="1"/>
  <c r="R2014" i="18"/>
  <c r="S2014" i="18" s="1"/>
  <c r="S2013" i="18"/>
  <c r="R2048" i="18"/>
  <c r="S2048" i="18" s="1"/>
  <c r="R2047" i="18"/>
  <c r="S2047" i="18" s="1"/>
  <c r="R2046" i="18"/>
  <c r="S2046" i="18" s="1"/>
  <c r="S2045" i="18"/>
  <c r="R2080" i="18"/>
  <c r="S2080" i="18" s="1"/>
  <c r="R2079" i="18"/>
  <c r="S2079" i="18" s="1"/>
  <c r="R2078" i="18"/>
  <c r="S2078" i="18" s="1"/>
  <c r="R2077" i="18"/>
  <c r="S2077" i="18" s="1"/>
  <c r="S2076" i="18"/>
  <c r="R2100" i="18"/>
  <c r="S2100" i="18" s="1"/>
  <c r="R2099" i="18"/>
  <c r="S2099" i="18" s="1"/>
  <c r="R2098" i="18"/>
  <c r="S2098" i="18" s="1"/>
  <c r="R2097" i="18"/>
  <c r="S2097" i="18" s="1"/>
  <c r="S2096" i="18"/>
  <c r="R2121" i="18"/>
  <c r="S2121" i="18" s="1"/>
  <c r="R2120" i="18"/>
  <c r="S2120" i="18" s="1"/>
  <c r="R2119" i="18"/>
  <c r="S2119" i="18" s="1"/>
  <c r="R2118" i="18"/>
  <c r="S2118" i="18" s="1"/>
  <c r="R2117" i="18"/>
  <c r="S2117" i="18" s="1"/>
  <c r="S2116" i="18"/>
  <c r="R2169" i="18"/>
  <c r="S2169" i="18" s="1"/>
  <c r="R2168" i="18"/>
  <c r="S2168" i="18" s="1"/>
  <c r="R2167" i="18"/>
  <c r="S2167" i="18" s="1"/>
  <c r="R2166" i="18"/>
  <c r="S2166" i="18" s="1"/>
  <c r="R2165" i="18"/>
  <c r="S2165" i="18" s="1"/>
  <c r="S2164" i="18"/>
  <c r="R2217" i="18"/>
  <c r="S2217" i="18" s="1"/>
  <c r="R2216" i="18"/>
  <c r="S2216" i="18" s="1"/>
  <c r="R2215" i="18"/>
  <c r="S2215" i="18" s="1"/>
  <c r="R2214" i="18"/>
  <c r="S2214" i="18" s="1"/>
  <c r="R2213" i="18"/>
  <c r="S2213" i="18" s="1"/>
  <c r="S2212" i="18"/>
  <c r="R2265" i="18"/>
  <c r="S2265" i="18" s="1"/>
  <c r="R2264" i="18"/>
  <c r="S2264" i="18" s="1"/>
  <c r="R2263" i="18"/>
  <c r="S2263" i="18" s="1"/>
  <c r="R2262" i="18"/>
  <c r="S2262" i="18" s="1"/>
  <c r="R2261" i="18"/>
  <c r="S2261" i="18" s="1"/>
  <c r="S2260" i="18"/>
  <c r="R2313" i="18"/>
  <c r="S2313" i="18" s="1"/>
  <c r="R2312" i="18"/>
  <c r="S2312" i="18" s="1"/>
  <c r="R2311" i="18"/>
  <c r="S2311" i="18" s="1"/>
  <c r="R2310" i="18"/>
  <c r="S2310" i="18" s="1"/>
  <c r="R2309" i="18"/>
  <c r="S2309" i="18" s="1"/>
  <c r="S2308" i="18"/>
  <c r="R2361" i="18"/>
  <c r="S2361" i="18" s="1"/>
  <c r="R2360" i="18"/>
  <c r="S2360" i="18" s="1"/>
  <c r="R2359" i="18"/>
  <c r="S2359" i="18" s="1"/>
  <c r="R2358" i="18"/>
  <c r="S2358" i="18" s="1"/>
  <c r="R2357" i="18"/>
  <c r="S2357" i="18" s="1"/>
  <c r="S2356" i="18"/>
  <c r="R2409" i="18"/>
  <c r="S2409" i="18" s="1"/>
  <c r="R2408" i="18"/>
  <c r="S2408" i="18" s="1"/>
  <c r="R2407" i="18"/>
  <c r="S2407" i="18" s="1"/>
  <c r="R2406" i="18"/>
  <c r="S2406" i="18" s="1"/>
  <c r="R2405" i="18"/>
  <c r="S2405" i="18" s="1"/>
  <c r="S2404" i="18"/>
  <c r="R2457" i="18"/>
  <c r="S2457" i="18" s="1"/>
  <c r="R2456" i="18"/>
  <c r="S2456" i="18" s="1"/>
  <c r="R2455" i="18"/>
  <c r="S2455" i="18" s="1"/>
  <c r="R2454" i="18"/>
  <c r="S2454" i="18" s="1"/>
  <c r="R2453" i="18"/>
  <c r="S2453" i="18" s="1"/>
  <c r="S2452" i="18"/>
  <c r="R2505" i="18"/>
  <c r="S2505" i="18" s="1"/>
  <c r="R2504" i="18"/>
  <c r="S2504" i="18" s="1"/>
  <c r="R2503" i="18"/>
  <c r="S2503" i="18" s="1"/>
  <c r="R2502" i="18"/>
  <c r="S2502" i="18" s="1"/>
  <c r="R2501" i="18"/>
  <c r="S2501" i="18" s="1"/>
  <c r="S2500" i="18"/>
  <c r="R369" i="18"/>
  <c r="S369" i="18" s="1"/>
  <c r="S189" i="18"/>
  <c r="R423" i="18"/>
  <c r="S423" i="18" s="1"/>
  <c r="S243" i="18"/>
  <c r="S268" i="18"/>
  <c r="R287" i="18"/>
  <c r="S287" i="18" s="1"/>
  <c r="S286" i="18"/>
  <c r="R296" i="18"/>
  <c r="S296" i="18" s="1"/>
  <c r="S295" i="18"/>
  <c r="S447" i="18"/>
  <c r="R641" i="18"/>
  <c r="S641" i="18" s="1"/>
  <c r="R644" i="18"/>
  <c r="S644" i="18" s="1"/>
  <c r="R643" i="18"/>
  <c r="S643" i="18" s="1"/>
  <c r="R642" i="18"/>
  <c r="S642" i="18" s="1"/>
  <c r="S640" i="18"/>
  <c r="R1948" i="18"/>
  <c r="S1948" i="18" s="1"/>
  <c r="R1947" i="18"/>
  <c r="S1947" i="18" s="1"/>
  <c r="R1946" i="18"/>
  <c r="S1946" i="18" s="1"/>
  <c r="S1945" i="18"/>
  <c r="S1965" i="18"/>
  <c r="R1966" i="18"/>
  <c r="S1966" i="18" s="1"/>
  <c r="R1968" i="18"/>
  <c r="S1968" i="18" s="1"/>
  <c r="R1967" i="18"/>
  <c r="S1967" i="18" s="1"/>
  <c r="R1987" i="18"/>
  <c r="S1987" i="18" s="1"/>
  <c r="R1986" i="18"/>
  <c r="S1986" i="18" s="1"/>
  <c r="R1988" i="18"/>
  <c r="S1988" i="18" s="1"/>
  <c r="S1985" i="18"/>
  <c r="R2028" i="18"/>
  <c r="S2028" i="18" s="1"/>
  <c r="R2027" i="18"/>
  <c r="S2027" i="18" s="1"/>
  <c r="R2026" i="18"/>
  <c r="S2026" i="18" s="1"/>
  <c r="S2025" i="18"/>
  <c r="R2060" i="18"/>
  <c r="S2060" i="18" s="1"/>
  <c r="R2059" i="18"/>
  <c r="S2059" i="18" s="1"/>
  <c r="R2058" i="18"/>
  <c r="S2058" i="18" s="1"/>
  <c r="S2057" i="18"/>
  <c r="R2124" i="18"/>
  <c r="S2124" i="18" s="1"/>
  <c r="R2123" i="18"/>
  <c r="S2123" i="18" s="1"/>
  <c r="R2127" i="18"/>
  <c r="S2127" i="18" s="1"/>
  <c r="R2126" i="18"/>
  <c r="S2126" i="18" s="1"/>
  <c r="R2125" i="18"/>
  <c r="S2125" i="18" s="1"/>
  <c r="S2122" i="18"/>
  <c r="R2172" i="18"/>
  <c r="S2172" i="18" s="1"/>
  <c r="R2171" i="18"/>
  <c r="S2171" i="18" s="1"/>
  <c r="R2175" i="18"/>
  <c r="S2175" i="18" s="1"/>
  <c r="R2174" i="18"/>
  <c r="S2174" i="18" s="1"/>
  <c r="R2173" i="18"/>
  <c r="S2173" i="18" s="1"/>
  <c r="S2170" i="18"/>
  <c r="R2220" i="18"/>
  <c r="S2220" i="18" s="1"/>
  <c r="R2219" i="18"/>
  <c r="S2219" i="18" s="1"/>
  <c r="R2223" i="18"/>
  <c r="S2223" i="18" s="1"/>
  <c r="R2222" i="18"/>
  <c r="S2222" i="18" s="1"/>
  <c r="R2221" i="18"/>
  <c r="S2221" i="18" s="1"/>
  <c r="S2218" i="18"/>
  <c r="R2268" i="18"/>
  <c r="S2268" i="18" s="1"/>
  <c r="R2267" i="18"/>
  <c r="S2267" i="18" s="1"/>
  <c r="R2271" i="18"/>
  <c r="S2271" i="18" s="1"/>
  <c r="R2270" i="18"/>
  <c r="S2270" i="18" s="1"/>
  <c r="R2269" i="18"/>
  <c r="S2269" i="18" s="1"/>
  <c r="S2266" i="18"/>
  <c r="R2316" i="18"/>
  <c r="S2316" i="18" s="1"/>
  <c r="R2315" i="18"/>
  <c r="S2315" i="18" s="1"/>
  <c r="R2319" i="18"/>
  <c r="S2319" i="18" s="1"/>
  <c r="R2318" i="18"/>
  <c r="S2318" i="18" s="1"/>
  <c r="R2317" i="18"/>
  <c r="S2317" i="18" s="1"/>
  <c r="S2314" i="18"/>
  <c r="R2364" i="18"/>
  <c r="S2364" i="18" s="1"/>
  <c r="R2363" i="18"/>
  <c r="S2363" i="18" s="1"/>
  <c r="R2367" i="18"/>
  <c r="S2367" i="18" s="1"/>
  <c r="R2366" i="18"/>
  <c r="S2366" i="18" s="1"/>
  <c r="R2365" i="18"/>
  <c r="S2365" i="18" s="1"/>
  <c r="S2362" i="18"/>
  <c r="R2412" i="18"/>
  <c r="S2412" i="18" s="1"/>
  <c r="R2411" i="18"/>
  <c r="S2411" i="18" s="1"/>
  <c r="R2415" i="18"/>
  <c r="S2415" i="18" s="1"/>
  <c r="R2414" i="18"/>
  <c r="S2414" i="18" s="1"/>
  <c r="R2413" i="18"/>
  <c r="S2413" i="18" s="1"/>
  <c r="S2410" i="18"/>
  <c r="R2460" i="18"/>
  <c r="S2460" i="18" s="1"/>
  <c r="R2459" i="18"/>
  <c r="S2459" i="18" s="1"/>
  <c r="R2463" i="18"/>
  <c r="S2463" i="18" s="1"/>
  <c r="R2462" i="18"/>
  <c r="S2462" i="18" s="1"/>
  <c r="R2461" i="18"/>
  <c r="S2461" i="18" s="1"/>
  <c r="S2458" i="18"/>
  <c r="R2508" i="18"/>
  <c r="S2508" i="18" s="1"/>
  <c r="R2507" i="18"/>
  <c r="S2507" i="18" s="1"/>
  <c r="R2511" i="18"/>
  <c r="S2511" i="18" s="1"/>
  <c r="R2510" i="18"/>
  <c r="S2510" i="18" s="1"/>
  <c r="R2509" i="18"/>
  <c r="S2509" i="18" s="1"/>
  <c r="S2506" i="18"/>
  <c r="R2558" i="18"/>
  <c r="S2558" i="18" s="1"/>
  <c r="R2557" i="18"/>
  <c r="S2557" i="18" s="1"/>
  <c r="R2556" i="18"/>
  <c r="S2556" i="18" s="1"/>
  <c r="R2555" i="18"/>
  <c r="S2555" i="18" s="1"/>
  <c r="S2554" i="18"/>
  <c r="R2559" i="18"/>
  <c r="S2559" i="18" s="1"/>
  <c r="R339" i="18"/>
  <c r="S339" i="18" s="1"/>
  <c r="S159" i="18"/>
  <c r="S201" i="18"/>
  <c r="R381" i="18"/>
  <c r="S381" i="18" s="1"/>
  <c r="R405" i="18"/>
  <c r="S405" i="18" s="1"/>
  <c r="S225" i="18"/>
  <c r="R656" i="18"/>
  <c r="S656" i="18" s="1"/>
  <c r="R655" i="18"/>
  <c r="S655" i="18" s="1"/>
  <c r="R654" i="18"/>
  <c r="S654" i="18" s="1"/>
  <c r="R653" i="18"/>
  <c r="S653" i="18" s="1"/>
  <c r="S652" i="18"/>
  <c r="R1934" i="18"/>
  <c r="S1934" i="18" s="1"/>
  <c r="R1935" i="18"/>
  <c r="S1935" i="18" s="1"/>
  <c r="S1933" i="18"/>
  <c r="R1936" i="18"/>
  <c r="S1936" i="18" s="1"/>
  <c r="R1960" i="18"/>
  <c r="S1960" i="18" s="1"/>
  <c r="R1959" i="18"/>
  <c r="S1959" i="18" s="1"/>
  <c r="R1958" i="18"/>
  <c r="S1958" i="18" s="1"/>
  <c r="S1957" i="18"/>
  <c r="S1977" i="18"/>
  <c r="R1980" i="18"/>
  <c r="S1980" i="18" s="1"/>
  <c r="R1978" i="18"/>
  <c r="S1978" i="18" s="1"/>
  <c r="R1979" i="18"/>
  <c r="S1979" i="18" s="1"/>
  <c r="R2008" i="18"/>
  <c r="S2008" i="18" s="1"/>
  <c r="R2007" i="18"/>
  <c r="S2007" i="18" s="1"/>
  <c r="R2006" i="18"/>
  <c r="S2006" i="18" s="1"/>
  <c r="S2005" i="18"/>
  <c r="R2040" i="18"/>
  <c r="S2040" i="18" s="1"/>
  <c r="R2039" i="18"/>
  <c r="S2039" i="18" s="1"/>
  <c r="R2038" i="18"/>
  <c r="S2038" i="18" s="1"/>
  <c r="S2037" i="18"/>
  <c r="R2074" i="18"/>
  <c r="S2074" i="18" s="1"/>
  <c r="R2073" i="18"/>
  <c r="S2073" i="18" s="1"/>
  <c r="R2072" i="18"/>
  <c r="S2072" i="18" s="1"/>
  <c r="R2075" i="18"/>
  <c r="S2075" i="18" s="1"/>
  <c r="S2071" i="18"/>
  <c r="R2094" i="18"/>
  <c r="S2094" i="18" s="1"/>
  <c r="R2093" i="18"/>
  <c r="S2093" i="18" s="1"/>
  <c r="R2092" i="18"/>
  <c r="S2092" i="18" s="1"/>
  <c r="R2095" i="18"/>
  <c r="S2095" i="18" s="1"/>
  <c r="S2091" i="18"/>
  <c r="R2114" i="18"/>
  <c r="S2114" i="18" s="1"/>
  <c r="R2113" i="18"/>
  <c r="S2113" i="18" s="1"/>
  <c r="R2112" i="18"/>
  <c r="S2112" i="18" s="1"/>
  <c r="R2115" i="18"/>
  <c r="S2115" i="18" s="1"/>
  <c r="S2111" i="18"/>
  <c r="R2133" i="18"/>
  <c r="S2133" i="18" s="1"/>
  <c r="R2132" i="18"/>
  <c r="S2132" i="18" s="1"/>
  <c r="R2131" i="18"/>
  <c r="S2131" i="18" s="1"/>
  <c r="R2130" i="18"/>
  <c r="S2130" i="18" s="1"/>
  <c r="R2129" i="18"/>
  <c r="S2129" i="18" s="1"/>
  <c r="S2128" i="18"/>
  <c r="R2181" i="18"/>
  <c r="S2181" i="18" s="1"/>
  <c r="R2180" i="18"/>
  <c r="S2180" i="18" s="1"/>
  <c r="R2179" i="18"/>
  <c r="S2179" i="18" s="1"/>
  <c r="R2178" i="18"/>
  <c r="S2178" i="18" s="1"/>
  <c r="R2177" i="18"/>
  <c r="S2177" i="18" s="1"/>
  <c r="S2176" i="18"/>
  <c r="R2229" i="18"/>
  <c r="S2229" i="18" s="1"/>
  <c r="R2228" i="18"/>
  <c r="S2228" i="18" s="1"/>
  <c r="R2227" i="18"/>
  <c r="S2227" i="18" s="1"/>
  <c r="R2226" i="18"/>
  <c r="S2226" i="18" s="1"/>
  <c r="R2225" i="18"/>
  <c r="S2225" i="18" s="1"/>
  <c r="S2224" i="18"/>
  <c r="R2277" i="18"/>
  <c r="S2277" i="18" s="1"/>
  <c r="R2276" i="18"/>
  <c r="S2276" i="18" s="1"/>
  <c r="R2275" i="18"/>
  <c r="S2275" i="18" s="1"/>
  <c r="R2274" i="18"/>
  <c r="S2274" i="18" s="1"/>
  <c r="R2273" i="18"/>
  <c r="S2273" i="18" s="1"/>
  <c r="S2272" i="18"/>
  <c r="R2325" i="18"/>
  <c r="S2325" i="18" s="1"/>
  <c r="R2324" i="18"/>
  <c r="S2324" i="18" s="1"/>
  <c r="R2323" i="18"/>
  <c r="S2323" i="18" s="1"/>
  <c r="R2322" i="18"/>
  <c r="S2322" i="18" s="1"/>
  <c r="R2321" i="18"/>
  <c r="S2321" i="18" s="1"/>
  <c r="S2320" i="18"/>
  <c r="R2373" i="18"/>
  <c r="S2373" i="18" s="1"/>
  <c r="R2372" i="18"/>
  <c r="S2372" i="18" s="1"/>
  <c r="R2371" i="18"/>
  <c r="S2371" i="18" s="1"/>
  <c r="R2370" i="18"/>
  <c r="S2370" i="18" s="1"/>
  <c r="R2369" i="18"/>
  <c r="S2369" i="18" s="1"/>
  <c r="S2368" i="18"/>
  <c r="R2421" i="18"/>
  <c r="S2421" i="18" s="1"/>
  <c r="R2420" i="18"/>
  <c r="S2420" i="18" s="1"/>
  <c r="R2419" i="18"/>
  <c r="S2419" i="18" s="1"/>
  <c r="R2418" i="18"/>
  <c r="S2418" i="18" s="1"/>
  <c r="R2417" i="18"/>
  <c r="S2417" i="18" s="1"/>
  <c r="S2416" i="18"/>
  <c r="R2469" i="18"/>
  <c r="S2469" i="18" s="1"/>
  <c r="R2468" i="18"/>
  <c r="S2468" i="18" s="1"/>
  <c r="R2467" i="18"/>
  <c r="S2467" i="18" s="1"/>
  <c r="R2466" i="18"/>
  <c r="S2466" i="18" s="1"/>
  <c r="R2465" i="18"/>
  <c r="S2465" i="18" s="1"/>
  <c r="S2464" i="18"/>
  <c r="R2517" i="18"/>
  <c r="S2517" i="18" s="1"/>
  <c r="R2516" i="18"/>
  <c r="S2516" i="18" s="1"/>
  <c r="R2515" i="18"/>
  <c r="S2515" i="18" s="1"/>
  <c r="R2514" i="18"/>
  <c r="S2514" i="18" s="1"/>
  <c r="R2513" i="18"/>
  <c r="S2513" i="18" s="1"/>
  <c r="S2512" i="18"/>
  <c r="R2565" i="18"/>
  <c r="S2565" i="18" s="1"/>
  <c r="R2564" i="18"/>
  <c r="S2564" i="18" s="1"/>
  <c r="R2563" i="18"/>
  <c r="S2563" i="18" s="1"/>
  <c r="R2562" i="18"/>
  <c r="S2562" i="18" s="1"/>
  <c r="R2561" i="18"/>
  <c r="S2561" i="18" s="1"/>
  <c r="S2560" i="18"/>
  <c r="R363" i="18"/>
  <c r="S363" i="18" s="1"/>
  <c r="S183" i="18"/>
  <c r="R411" i="18"/>
  <c r="S411" i="18" s="1"/>
  <c r="S231" i="18"/>
  <c r="R284" i="18"/>
  <c r="S284" i="18" s="1"/>
  <c r="S283" i="18"/>
  <c r="R350" i="18"/>
  <c r="S350" i="18" s="1"/>
  <c r="R349" i="18"/>
  <c r="S349" i="18" s="1"/>
  <c r="R348" i="18"/>
  <c r="S348" i="18" s="1"/>
  <c r="R347" i="18"/>
  <c r="S347" i="18" s="1"/>
  <c r="S346" i="18"/>
  <c r="R1940" i="18"/>
  <c r="S1940" i="18" s="1"/>
  <c r="R1939" i="18"/>
  <c r="S1939" i="18" s="1"/>
  <c r="R1938" i="18"/>
  <c r="S1938" i="18" s="1"/>
  <c r="S1937" i="18"/>
  <c r="R2019" i="18"/>
  <c r="S2019" i="18" s="1"/>
  <c r="R2018" i="18"/>
  <c r="S2018" i="18" s="1"/>
  <c r="R2020" i="18"/>
  <c r="S2020" i="18" s="1"/>
  <c r="S2017" i="18"/>
  <c r="R2052" i="18"/>
  <c r="S2052" i="18" s="1"/>
  <c r="R2051" i="18"/>
  <c r="S2051" i="18" s="1"/>
  <c r="R2050" i="18"/>
  <c r="S2050" i="18" s="1"/>
  <c r="S2049" i="18"/>
  <c r="R2139" i="18"/>
  <c r="S2139" i="18" s="1"/>
  <c r="R2138" i="18"/>
  <c r="S2138" i="18" s="1"/>
  <c r="R2137" i="18"/>
  <c r="S2137" i="18" s="1"/>
  <c r="R2136" i="18"/>
  <c r="S2136" i="18" s="1"/>
  <c r="R2135" i="18"/>
  <c r="S2135" i="18" s="1"/>
  <c r="S2134" i="18"/>
  <c r="R2187" i="18"/>
  <c r="S2187" i="18" s="1"/>
  <c r="R2186" i="18"/>
  <c r="S2186" i="18" s="1"/>
  <c r="R2185" i="18"/>
  <c r="S2185" i="18" s="1"/>
  <c r="R2184" i="18"/>
  <c r="S2184" i="18" s="1"/>
  <c r="R2183" i="18"/>
  <c r="S2183" i="18" s="1"/>
  <c r="S2182" i="18"/>
  <c r="R2235" i="18"/>
  <c r="S2235" i="18" s="1"/>
  <c r="R2234" i="18"/>
  <c r="S2234" i="18" s="1"/>
  <c r="R2233" i="18"/>
  <c r="S2233" i="18" s="1"/>
  <c r="R2232" i="18"/>
  <c r="S2232" i="18" s="1"/>
  <c r="R2231" i="18"/>
  <c r="S2231" i="18" s="1"/>
  <c r="S2230" i="18"/>
  <c r="R2283" i="18"/>
  <c r="S2283" i="18" s="1"/>
  <c r="R2282" i="18"/>
  <c r="S2282" i="18" s="1"/>
  <c r="R2281" i="18"/>
  <c r="S2281" i="18" s="1"/>
  <c r="R2280" i="18"/>
  <c r="S2280" i="18" s="1"/>
  <c r="R2279" i="18"/>
  <c r="S2279" i="18" s="1"/>
  <c r="S2278" i="18"/>
  <c r="R2331" i="18"/>
  <c r="S2331" i="18" s="1"/>
  <c r="R2330" i="18"/>
  <c r="S2330" i="18" s="1"/>
  <c r="R2329" i="18"/>
  <c r="S2329" i="18" s="1"/>
  <c r="R2328" i="18"/>
  <c r="S2328" i="18" s="1"/>
  <c r="R2327" i="18"/>
  <c r="S2327" i="18" s="1"/>
  <c r="S2326" i="18"/>
  <c r="R2379" i="18"/>
  <c r="S2379" i="18" s="1"/>
  <c r="R2378" i="18"/>
  <c r="S2378" i="18" s="1"/>
  <c r="R2377" i="18"/>
  <c r="S2377" i="18" s="1"/>
  <c r="R2376" i="18"/>
  <c r="S2376" i="18" s="1"/>
  <c r="R2375" i="18"/>
  <c r="S2375" i="18" s="1"/>
  <c r="S2374" i="18"/>
  <c r="R2427" i="18"/>
  <c r="S2427" i="18" s="1"/>
  <c r="R2426" i="18"/>
  <c r="S2426" i="18" s="1"/>
  <c r="R2425" i="18"/>
  <c r="S2425" i="18" s="1"/>
  <c r="R2424" i="18"/>
  <c r="S2424" i="18" s="1"/>
  <c r="R2423" i="18"/>
  <c r="S2423" i="18" s="1"/>
  <c r="S2422" i="18"/>
  <c r="R2475" i="18"/>
  <c r="S2475" i="18" s="1"/>
  <c r="R2474" i="18"/>
  <c r="S2474" i="18" s="1"/>
  <c r="R2473" i="18"/>
  <c r="S2473" i="18" s="1"/>
  <c r="R2472" i="18"/>
  <c r="S2472" i="18" s="1"/>
  <c r="S2470" i="18"/>
  <c r="R2471" i="18"/>
  <c r="S2471" i="18" s="1"/>
  <c r="R2523" i="18"/>
  <c r="S2523" i="18" s="1"/>
  <c r="R2522" i="18"/>
  <c r="S2522" i="18" s="1"/>
  <c r="R2521" i="18"/>
  <c r="S2521" i="18" s="1"/>
  <c r="R2520" i="18"/>
  <c r="S2520" i="18" s="1"/>
  <c r="R2519" i="18"/>
  <c r="S2519" i="18" s="1"/>
  <c r="S2518" i="18"/>
  <c r="R2568" i="18"/>
  <c r="S2568" i="18" s="1"/>
  <c r="R2567" i="18"/>
  <c r="S2567" i="18" s="1"/>
  <c r="R2571" i="18"/>
  <c r="S2571" i="18" s="1"/>
  <c r="R2570" i="18"/>
  <c r="S2570" i="18" s="1"/>
  <c r="R2569" i="18"/>
  <c r="S2569" i="18" s="1"/>
  <c r="S2566" i="18"/>
  <c r="S207" i="18"/>
  <c r="R387" i="18"/>
  <c r="S387" i="18" s="1"/>
  <c r="R356" i="18"/>
  <c r="S356" i="18" s="1"/>
  <c r="R355" i="18"/>
  <c r="S355" i="18" s="1"/>
  <c r="R354" i="18"/>
  <c r="S354" i="18" s="1"/>
  <c r="R353" i="18"/>
  <c r="S353" i="18" s="1"/>
  <c r="S352" i="18"/>
  <c r="R361" i="18"/>
  <c r="S361" i="18" s="1"/>
  <c r="R360" i="18"/>
  <c r="S360" i="18" s="1"/>
  <c r="R359" i="18"/>
  <c r="S359" i="18" s="1"/>
  <c r="R362" i="18"/>
  <c r="S362" i="18" s="1"/>
  <c r="S358" i="18"/>
  <c r="R368" i="18"/>
  <c r="S368" i="18" s="1"/>
  <c r="R367" i="18"/>
  <c r="S367" i="18" s="1"/>
  <c r="R366" i="18"/>
  <c r="S366" i="18" s="1"/>
  <c r="R365" i="18"/>
  <c r="S365" i="18" s="1"/>
  <c r="S364" i="18"/>
  <c r="R371" i="18"/>
  <c r="S371" i="18" s="1"/>
  <c r="R374" i="18"/>
  <c r="S374" i="18" s="1"/>
  <c r="R373" i="18"/>
  <c r="S373" i="18" s="1"/>
  <c r="S370" i="18"/>
  <c r="R372" i="18"/>
  <c r="S372" i="18" s="1"/>
  <c r="R386" i="18"/>
  <c r="S386" i="18" s="1"/>
  <c r="R385" i="18"/>
  <c r="S385" i="18" s="1"/>
  <c r="R384" i="18"/>
  <c r="S384" i="18" s="1"/>
  <c r="R383" i="18"/>
  <c r="S383" i="18" s="1"/>
  <c r="S382" i="18"/>
  <c r="R1952" i="18"/>
  <c r="S1952" i="18" s="1"/>
  <c r="R1951" i="18"/>
  <c r="S1951" i="18" s="1"/>
  <c r="R1950" i="18"/>
  <c r="S1950" i="18" s="1"/>
  <c r="S1949" i="18"/>
  <c r="S1969" i="18"/>
  <c r="R1972" i="18"/>
  <c r="S1972" i="18" s="1"/>
  <c r="R1971" i="18"/>
  <c r="S1971" i="18" s="1"/>
  <c r="R1970" i="18"/>
  <c r="S1970" i="18" s="1"/>
  <c r="R1992" i="18"/>
  <c r="S1992" i="18" s="1"/>
  <c r="R1991" i="18"/>
  <c r="S1991" i="18" s="1"/>
  <c r="R1990" i="18"/>
  <c r="S1990" i="18" s="1"/>
  <c r="S1989" i="18"/>
  <c r="R1998" i="18"/>
  <c r="S1998" i="18" s="1"/>
  <c r="R2000" i="18"/>
  <c r="S2000" i="18" s="1"/>
  <c r="R1999" i="18"/>
  <c r="S1999" i="18" s="1"/>
  <c r="S1997" i="18"/>
  <c r="R2032" i="18"/>
  <c r="S2032" i="18" s="1"/>
  <c r="R2031" i="18"/>
  <c r="S2031" i="18" s="1"/>
  <c r="R2030" i="18"/>
  <c r="S2030" i="18" s="1"/>
  <c r="S2029" i="18"/>
  <c r="R2064" i="18"/>
  <c r="S2064" i="18" s="1"/>
  <c r="R2063" i="18"/>
  <c r="S2063" i="18" s="1"/>
  <c r="R2062" i="18"/>
  <c r="S2062" i="18" s="1"/>
  <c r="R2065" i="18"/>
  <c r="S2065" i="18" s="1"/>
  <c r="S2061" i="18"/>
  <c r="R2090" i="18"/>
  <c r="S2090" i="18" s="1"/>
  <c r="R2089" i="18"/>
  <c r="S2089" i="18" s="1"/>
  <c r="R2088" i="18"/>
  <c r="S2088" i="18" s="1"/>
  <c r="R2087" i="18"/>
  <c r="S2087" i="18" s="1"/>
  <c r="S2086" i="18"/>
  <c r="R2110" i="18"/>
  <c r="S2110" i="18" s="1"/>
  <c r="R2109" i="18"/>
  <c r="S2109" i="18" s="1"/>
  <c r="R2108" i="18"/>
  <c r="S2108" i="18" s="1"/>
  <c r="R2107" i="18"/>
  <c r="S2107" i="18" s="1"/>
  <c r="S2106" i="18"/>
  <c r="R2143" i="18"/>
  <c r="S2143" i="18" s="1"/>
  <c r="R2142" i="18"/>
  <c r="S2142" i="18" s="1"/>
  <c r="R2141" i="18"/>
  <c r="S2141" i="18" s="1"/>
  <c r="R2145" i="18"/>
  <c r="S2145" i="18" s="1"/>
  <c r="R2144" i="18"/>
  <c r="S2144" i="18" s="1"/>
  <c r="S2140" i="18"/>
  <c r="R2191" i="18"/>
  <c r="S2191" i="18" s="1"/>
  <c r="R2190" i="18"/>
  <c r="S2190" i="18" s="1"/>
  <c r="R2189" i="18"/>
  <c r="S2189" i="18" s="1"/>
  <c r="R2193" i="18"/>
  <c r="S2193" i="18" s="1"/>
  <c r="R2192" i="18"/>
  <c r="S2192" i="18" s="1"/>
  <c r="S2188" i="18"/>
  <c r="R2239" i="18"/>
  <c r="S2239" i="18" s="1"/>
  <c r="R2238" i="18"/>
  <c r="S2238" i="18" s="1"/>
  <c r="R2237" i="18"/>
  <c r="S2237" i="18" s="1"/>
  <c r="R2241" i="18"/>
  <c r="S2241" i="18" s="1"/>
  <c r="R2240" i="18"/>
  <c r="S2240" i="18" s="1"/>
  <c r="S2236" i="18"/>
  <c r="R2287" i="18"/>
  <c r="S2287" i="18" s="1"/>
  <c r="R2286" i="18"/>
  <c r="S2286" i="18" s="1"/>
  <c r="R2285" i="18"/>
  <c r="S2285" i="18" s="1"/>
  <c r="R2289" i="18"/>
  <c r="S2289" i="18" s="1"/>
  <c r="R2288" i="18"/>
  <c r="S2288" i="18" s="1"/>
  <c r="S2284" i="18"/>
  <c r="R2335" i="18"/>
  <c r="S2335" i="18" s="1"/>
  <c r="R2334" i="18"/>
  <c r="S2334" i="18" s="1"/>
  <c r="R2333" i="18"/>
  <c r="S2333" i="18" s="1"/>
  <c r="R2337" i="18"/>
  <c r="S2337" i="18" s="1"/>
  <c r="R2336" i="18"/>
  <c r="S2336" i="18" s="1"/>
  <c r="S2332" i="18"/>
  <c r="R2383" i="18"/>
  <c r="S2383" i="18" s="1"/>
  <c r="R2382" i="18"/>
  <c r="S2382" i="18" s="1"/>
  <c r="R2381" i="18"/>
  <c r="S2381" i="18" s="1"/>
  <c r="R2385" i="18"/>
  <c r="S2385" i="18" s="1"/>
  <c r="R2384" i="18"/>
  <c r="S2384" i="18" s="1"/>
  <c r="S2380" i="18"/>
  <c r="R2431" i="18"/>
  <c r="S2431" i="18" s="1"/>
  <c r="R2430" i="18"/>
  <c r="S2430" i="18" s="1"/>
  <c r="R2429" i="18"/>
  <c r="S2429" i="18" s="1"/>
  <c r="R2433" i="18"/>
  <c r="S2433" i="18" s="1"/>
  <c r="R2432" i="18"/>
  <c r="S2432" i="18" s="1"/>
  <c r="S2428" i="18"/>
  <c r="R2479" i="18"/>
  <c r="S2479" i="18" s="1"/>
  <c r="R2478" i="18"/>
  <c r="S2478" i="18" s="1"/>
  <c r="R2477" i="18"/>
  <c r="S2477" i="18" s="1"/>
  <c r="R2481" i="18"/>
  <c r="S2481" i="18" s="1"/>
  <c r="R2480" i="18"/>
  <c r="S2480" i="18" s="1"/>
  <c r="S2476" i="18"/>
  <c r="S1929" i="18"/>
  <c r="R1931" i="18"/>
  <c r="S1931" i="18" s="1"/>
  <c r="R1930" i="18"/>
  <c r="S1930" i="18" s="1"/>
  <c r="R1932" i="18"/>
  <c r="S1932" i="18" s="1"/>
  <c r="R2552" i="18"/>
  <c r="S2552" i="18" s="1"/>
  <c r="R2551" i="18"/>
  <c r="S2551" i="18" s="1"/>
  <c r="R2550" i="18"/>
  <c r="S2550" i="18" s="1"/>
  <c r="R2549" i="18"/>
  <c r="S2549" i="18" s="1"/>
  <c r="S2548" i="18"/>
  <c r="R2553" i="18"/>
  <c r="S2553" i="18" s="1"/>
  <c r="R2624" i="18"/>
  <c r="S2624" i="18" s="1"/>
  <c r="P2662" i="18"/>
  <c r="Q2610" i="18"/>
  <c r="Q2662" i="18" s="1"/>
  <c r="S2524" i="18"/>
  <c r="R2529" i="18"/>
  <c r="S2529" i="18" s="1"/>
  <c r="R2528" i="18"/>
  <c r="S2528" i="18" s="1"/>
  <c r="R2527" i="18"/>
  <c r="S2527" i="18" s="1"/>
  <c r="R2526" i="18"/>
  <c r="S2526" i="18" s="1"/>
  <c r="R2525" i="18"/>
  <c r="S2525" i="18" s="1"/>
  <c r="R2577" i="18"/>
  <c r="S2577" i="18" s="1"/>
  <c r="R2576" i="18"/>
  <c r="S2576" i="18" s="1"/>
  <c r="R2575" i="18"/>
  <c r="S2575" i="18" s="1"/>
  <c r="R2574" i="18"/>
  <c r="S2574" i="18" s="1"/>
  <c r="R2573" i="18"/>
  <c r="S2573" i="18" s="1"/>
  <c r="S2572" i="18"/>
  <c r="R2578" i="18"/>
  <c r="S2578" i="18" s="1"/>
  <c r="R1784" i="18"/>
  <c r="S1784" i="18" s="1"/>
  <c r="R1783" i="18"/>
  <c r="S1783" i="18" s="1"/>
  <c r="R1782" i="18"/>
  <c r="S1782" i="18" s="1"/>
  <c r="S1762" i="18"/>
  <c r="R1764" i="18"/>
  <c r="S1764" i="18" s="1"/>
  <c r="R1763" i="18"/>
  <c r="S1763" i="18" s="1"/>
  <c r="S1768" i="18"/>
  <c r="R1770" i="18"/>
  <c r="S1770" i="18" s="1"/>
  <c r="R1769" i="18"/>
  <c r="S1769" i="18" s="1"/>
  <c r="S1759" i="18"/>
  <c r="R1761" i="18"/>
  <c r="S1761" i="18" s="1"/>
  <c r="R1760" i="18"/>
  <c r="S1760" i="18" s="1"/>
  <c r="S1765" i="18"/>
  <c r="R1767" i="18"/>
  <c r="S1767" i="18" s="1"/>
  <c r="R1766" i="18"/>
  <c r="S1766" i="18" s="1"/>
  <c r="S1753" i="18"/>
  <c r="R1755" i="18"/>
  <c r="S1755" i="18" s="1"/>
  <c r="R1754" i="18"/>
  <c r="S1754" i="18" s="1"/>
  <c r="S1756" i="18"/>
  <c r="R1758" i="18"/>
  <c r="S1758" i="18" s="1"/>
  <c r="R1757" i="18"/>
  <c r="S1757" i="18" s="1"/>
  <c r="S1750" i="18"/>
  <c r="R1752" i="18"/>
  <c r="S1752" i="18" s="1"/>
  <c r="R1751" i="18"/>
  <c r="S1751" i="18" s="1"/>
  <c r="S1749" i="18"/>
  <c r="S1671" i="18"/>
  <c r="R1674" i="18"/>
  <c r="S1674" i="18" s="1"/>
  <c r="R1673" i="18"/>
  <c r="S1673" i="18" s="1"/>
  <c r="R1672" i="18"/>
  <c r="S1672" i="18" s="1"/>
  <c r="S1667" i="18"/>
  <c r="R1670" i="18"/>
  <c r="S1670" i="18" s="1"/>
  <c r="R1669" i="18"/>
  <c r="S1669" i="18" s="1"/>
  <c r="R1668" i="18"/>
  <c r="S1668" i="18" s="1"/>
  <c r="S1663" i="18"/>
  <c r="R1664" i="18"/>
  <c r="S1664" i="18" s="1"/>
  <c r="R1666" i="18"/>
  <c r="S1666" i="18" s="1"/>
  <c r="R1665" i="18"/>
  <c r="S1665" i="18" s="1"/>
  <c r="S1655" i="18"/>
  <c r="R1658" i="18"/>
  <c r="S1658" i="18" s="1"/>
  <c r="R1657" i="18"/>
  <c r="S1657" i="18" s="1"/>
  <c r="R1656" i="18"/>
  <c r="S1656" i="18" s="1"/>
  <c r="R1662" i="18"/>
  <c r="S1662" i="18" s="1"/>
  <c r="R1661" i="18"/>
  <c r="S1661" i="18" s="1"/>
  <c r="R1660" i="18"/>
  <c r="S1660" i="18" s="1"/>
  <c r="S1659" i="18"/>
  <c r="S592" i="18"/>
  <c r="R595" i="18"/>
  <c r="S595" i="18" s="1"/>
  <c r="R594" i="18"/>
  <c r="S594" i="18" s="1"/>
  <c r="R593" i="18"/>
  <c r="S593" i="18" s="1"/>
  <c r="R596" i="18"/>
  <c r="S596" i="18" s="1"/>
  <c r="S274" i="18"/>
  <c r="R275" i="18"/>
  <c r="S275" i="18" s="1"/>
  <c r="Q1638" i="18"/>
  <c r="P2659" i="18"/>
  <c r="S733" i="18"/>
  <c r="R736" i="18"/>
  <c r="S736" i="18" s="1"/>
  <c r="R735" i="18"/>
  <c r="S735" i="18" s="1"/>
  <c r="R734" i="18"/>
  <c r="S734" i="18" s="1"/>
  <c r="R732" i="18"/>
  <c r="S732" i="18" s="1"/>
  <c r="R731" i="18"/>
  <c r="S731" i="18" s="1"/>
  <c r="R730" i="18"/>
  <c r="S730" i="18" s="1"/>
  <c r="S729" i="18"/>
  <c r="R662" i="18"/>
  <c r="S662" i="18" s="1"/>
  <c r="R661" i="18"/>
  <c r="S661" i="18" s="1"/>
  <c r="R660" i="18"/>
  <c r="S660" i="18" s="1"/>
  <c r="S658" i="18"/>
  <c r="R659" i="18"/>
  <c r="S659" i="18" s="1"/>
  <c r="R650" i="18"/>
  <c r="S650" i="18" s="1"/>
  <c r="R649" i="18"/>
  <c r="S649" i="18" s="1"/>
  <c r="S646" i="18"/>
  <c r="R648" i="18"/>
  <c r="S648" i="18" s="1"/>
  <c r="R647" i="18"/>
  <c r="S647" i="18" s="1"/>
  <c r="S589" i="18"/>
  <c r="R590" i="18"/>
  <c r="S590" i="18" s="1"/>
  <c r="R568" i="18"/>
  <c r="S568" i="18" s="1"/>
  <c r="S565" i="18"/>
  <c r="R567" i="18"/>
  <c r="S567" i="18" s="1"/>
  <c r="R566" i="18"/>
  <c r="S566" i="18" s="1"/>
  <c r="R564" i="18"/>
  <c r="S564" i="18" s="1"/>
  <c r="S561" i="18"/>
  <c r="R563" i="18"/>
  <c r="S563" i="18" s="1"/>
  <c r="R562" i="18"/>
  <c r="S562" i="18" s="1"/>
  <c r="R558" i="18"/>
  <c r="S558" i="18" s="1"/>
  <c r="R560" i="18"/>
  <c r="S560" i="18" s="1"/>
  <c r="S557" i="18"/>
  <c r="R559" i="18"/>
  <c r="S559" i="18" s="1"/>
  <c r="S553" i="18"/>
  <c r="R556" i="18"/>
  <c r="S556" i="18" s="1"/>
  <c r="R555" i="18"/>
  <c r="S555" i="18" s="1"/>
  <c r="R554" i="18"/>
  <c r="S554" i="18" s="1"/>
  <c r="S541" i="18"/>
  <c r="R544" i="18"/>
  <c r="S544" i="18" s="1"/>
  <c r="R543" i="18"/>
  <c r="S543" i="18" s="1"/>
  <c r="R542" i="18"/>
  <c r="S542" i="18" s="1"/>
  <c r="R503" i="18"/>
  <c r="S503" i="18" s="1"/>
  <c r="R502" i="18"/>
  <c r="S502" i="18" s="1"/>
  <c r="R501" i="18"/>
  <c r="S501" i="18" s="1"/>
  <c r="S500" i="18"/>
  <c r="S495" i="18"/>
  <c r="R498" i="18"/>
  <c r="S498" i="18" s="1"/>
  <c r="R497" i="18"/>
  <c r="S497" i="18" s="1"/>
  <c r="R496" i="18"/>
  <c r="S496" i="18" s="1"/>
  <c r="R491" i="18"/>
  <c r="S491" i="18" s="1"/>
  <c r="S490" i="18"/>
  <c r="R493" i="18"/>
  <c r="S493" i="18" s="1"/>
  <c r="R492" i="18"/>
  <c r="S492" i="18" s="1"/>
  <c r="S485" i="18"/>
  <c r="R488" i="18"/>
  <c r="S488" i="18" s="1"/>
  <c r="R487" i="18"/>
  <c r="S487" i="18" s="1"/>
  <c r="R486" i="18"/>
  <c r="S486" i="18" s="1"/>
  <c r="R446" i="18"/>
  <c r="S446" i="18" s="1"/>
  <c r="R445" i="18"/>
  <c r="S445" i="18" s="1"/>
  <c r="R444" i="18"/>
  <c r="S444" i="18" s="1"/>
  <c r="R443" i="18"/>
  <c r="S443" i="18" s="1"/>
  <c r="S442" i="18"/>
  <c r="S292" i="18"/>
  <c r="R293" i="18"/>
  <c r="S293" i="18" s="1"/>
  <c r="S254" i="18"/>
  <c r="R257" i="18"/>
  <c r="S257" i="18" s="1"/>
  <c r="R256" i="18"/>
  <c r="S256" i="18" s="1"/>
  <c r="R255" i="18"/>
  <c r="S255" i="18" s="1"/>
  <c r="S269" i="18"/>
  <c r="R272" i="18"/>
  <c r="S272" i="18" s="1"/>
  <c r="R271" i="18"/>
  <c r="S271" i="18" s="1"/>
  <c r="R270" i="18"/>
  <c r="S270" i="18" s="1"/>
  <c r="S264" i="18"/>
  <c r="R267" i="18"/>
  <c r="S267" i="18" s="1"/>
  <c r="R266" i="18"/>
  <c r="S266" i="18" s="1"/>
  <c r="R265" i="18"/>
  <c r="S265" i="18" s="1"/>
  <c r="R262" i="18"/>
  <c r="S262" i="18" s="1"/>
  <c r="R261" i="18"/>
  <c r="S261" i="18" s="1"/>
  <c r="R260" i="18"/>
  <c r="S260" i="18" s="1"/>
  <c r="S259" i="18"/>
  <c r="R483" i="18"/>
  <c r="S483" i="18" s="1"/>
  <c r="R482" i="18"/>
  <c r="S482" i="18" s="1"/>
  <c r="R481" i="18"/>
  <c r="S481" i="18" s="1"/>
  <c r="R158" i="18"/>
  <c r="S158" i="18" s="1"/>
  <c r="R157" i="18"/>
  <c r="S157" i="18" s="1"/>
  <c r="R155" i="18"/>
  <c r="S155" i="18" s="1"/>
  <c r="R154" i="18"/>
  <c r="S154" i="18" s="1"/>
  <c r="R151" i="18"/>
  <c r="S151" i="18" s="1"/>
  <c r="R152" i="18"/>
  <c r="S152" i="18" s="1"/>
  <c r="R149" i="18"/>
  <c r="S149" i="18" s="1"/>
  <c r="R148" i="18"/>
  <c r="S148" i="18" s="1"/>
  <c r="R146" i="18"/>
  <c r="S146" i="18" s="1"/>
  <c r="R145" i="18"/>
  <c r="S145" i="18" s="1"/>
  <c r="R162" i="18"/>
  <c r="S162" i="18" s="1"/>
  <c r="R161" i="18"/>
  <c r="S161" i="18" s="1"/>
  <c r="R160" i="18"/>
  <c r="S160" i="18" s="1"/>
  <c r="R143" i="18"/>
  <c r="S143" i="18" s="1"/>
  <c r="R142" i="18"/>
  <c r="S142" i="18" s="1"/>
  <c r="R166" i="18"/>
  <c r="S166" i="18" s="1"/>
  <c r="R164" i="18"/>
  <c r="S164" i="18" s="1"/>
  <c r="R165" i="18"/>
  <c r="S165" i="18" s="1"/>
  <c r="R170" i="18"/>
  <c r="S170" i="18" s="1"/>
  <c r="R169" i="18"/>
  <c r="S169" i="18" s="1"/>
  <c r="R168" i="18"/>
  <c r="S168" i="18" s="1"/>
  <c r="R172" i="18"/>
  <c r="S172" i="18" s="1"/>
  <c r="R178" i="18"/>
  <c r="S178" i="18" s="1"/>
  <c r="R177" i="18"/>
  <c r="S177" i="18" s="1"/>
  <c r="R176" i="18"/>
  <c r="S176" i="18" s="1"/>
  <c r="R180" i="18"/>
  <c r="S180" i="18" s="1"/>
  <c r="R182" i="18"/>
  <c r="S182" i="18" s="1"/>
  <c r="R181" i="18"/>
  <c r="S181" i="18" s="1"/>
  <c r="R173" i="18"/>
  <c r="S173" i="18" s="1"/>
  <c r="R175" i="18"/>
  <c r="S175" i="18" s="1"/>
  <c r="R174" i="18"/>
  <c r="S174" i="18" s="1"/>
  <c r="R190" i="18"/>
  <c r="S190" i="18" s="1"/>
  <c r="R192" i="18"/>
  <c r="S192" i="18" s="1"/>
  <c r="R191" i="18"/>
  <c r="S191" i="18" s="1"/>
  <c r="R195" i="18"/>
  <c r="S195" i="18" s="1"/>
  <c r="R194" i="18"/>
  <c r="S194" i="18" s="1"/>
  <c r="R198" i="18"/>
  <c r="S198" i="18" s="1"/>
  <c r="R197" i="18"/>
  <c r="S197" i="18" s="1"/>
  <c r="R42" i="18"/>
  <c r="S42" i="18" s="1"/>
  <c r="R1917" i="18"/>
  <c r="S1917" i="18" s="1"/>
  <c r="R1822" i="18"/>
  <c r="S1822" i="18" s="1"/>
  <c r="R1850" i="18"/>
  <c r="S1850" i="18" s="1"/>
  <c r="R1915" i="18"/>
  <c r="S1915" i="18" s="1"/>
  <c r="R1922" i="18"/>
  <c r="S1922" i="18" s="1"/>
  <c r="R1815" i="18"/>
  <c r="S1815" i="18" s="1"/>
  <c r="R1851" i="18"/>
  <c r="S1851" i="18" s="1"/>
  <c r="R1923" i="18"/>
  <c r="S1923" i="18" s="1"/>
  <c r="R288" i="18"/>
  <c r="S288" i="18" s="1"/>
  <c r="R1818" i="18"/>
  <c r="S1818" i="18" s="1"/>
  <c r="R1855" i="18"/>
  <c r="S1855" i="18" s="1"/>
  <c r="R2023" i="18"/>
  <c r="S2023" i="18" s="1"/>
  <c r="R1788" i="18"/>
  <c r="S1788" i="18" s="1"/>
  <c r="R1831" i="18"/>
  <c r="S1831" i="18" s="1"/>
  <c r="R1859" i="18"/>
  <c r="S1859" i="18" s="1"/>
  <c r="R1834" i="18"/>
  <c r="S1834" i="18" s="1"/>
  <c r="R1863" i="18"/>
  <c r="S1863" i="18" s="1"/>
  <c r="R297" i="18"/>
  <c r="S297" i="18" s="1"/>
  <c r="R1825" i="18"/>
  <c r="S1825" i="18" s="1"/>
  <c r="R1870" i="18"/>
  <c r="S1870" i="18" s="1"/>
  <c r="R1867" i="18"/>
  <c r="S1867" i="18" s="1"/>
  <c r="R309" i="18"/>
  <c r="S309" i="18" s="1"/>
  <c r="K2012" i="18"/>
  <c r="O2012" i="18" s="1"/>
  <c r="K2036" i="18"/>
  <c r="O2036" i="18" s="1"/>
  <c r="K2044" i="18"/>
  <c r="O2044" i="18" s="1"/>
  <c r="R1875" i="18"/>
  <c r="S1875" i="18" s="1"/>
  <c r="R1874" i="18"/>
  <c r="S1874" i="18" s="1"/>
  <c r="R1873" i="18"/>
  <c r="S1873" i="18" s="1"/>
  <c r="R1899" i="18"/>
  <c r="S1899" i="18" s="1"/>
  <c r="R1898" i="18"/>
  <c r="S1898" i="18" s="1"/>
  <c r="R1897" i="18"/>
  <c r="S1897" i="18" s="1"/>
  <c r="R1879" i="18"/>
  <c r="S1879" i="18" s="1"/>
  <c r="R1877" i="18"/>
  <c r="S1877" i="18" s="1"/>
  <c r="R1878" i="18"/>
  <c r="S1878" i="18" s="1"/>
  <c r="R1883" i="18"/>
  <c r="S1883" i="18" s="1"/>
  <c r="R1882" i="18"/>
  <c r="S1882" i="18" s="1"/>
  <c r="R1881" i="18"/>
  <c r="S1881" i="18" s="1"/>
  <c r="R1902" i="18"/>
  <c r="S1902" i="18" s="1"/>
  <c r="R1903" i="18"/>
  <c r="S1903" i="18" s="1"/>
  <c r="R1901" i="18"/>
  <c r="S1901" i="18" s="1"/>
  <c r="K2052" i="18"/>
  <c r="O2052" i="18" s="1"/>
  <c r="K2086" i="18"/>
  <c r="O2086" i="18" s="1"/>
  <c r="K2096" i="18"/>
  <c r="O2096" i="18" s="1"/>
  <c r="R1887" i="18"/>
  <c r="S1887" i="18" s="1"/>
  <c r="R1886" i="18"/>
  <c r="S1886" i="18" s="1"/>
  <c r="R1885" i="18"/>
  <c r="S1885" i="18" s="1"/>
  <c r="R1907" i="18"/>
  <c r="S1907" i="18" s="1"/>
  <c r="R1906" i="18"/>
  <c r="S1906" i="18" s="1"/>
  <c r="R1905" i="18"/>
  <c r="S1905" i="18" s="1"/>
  <c r="K2066" i="18"/>
  <c r="O2066" i="18" s="1"/>
  <c r="K1909" i="18"/>
  <c r="O1909" i="18" s="1"/>
  <c r="K1905" i="18"/>
  <c r="O1905" i="18" s="1"/>
  <c r="K1901" i="18"/>
  <c r="O1901" i="18" s="1"/>
  <c r="K1897" i="18"/>
  <c r="O1897" i="18" s="1"/>
  <c r="K1893" i="18"/>
  <c r="O1893" i="18" s="1"/>
  <c r="K1889" i="18"/>
  <c r="O1889" i="18" s="1"/>
  <c r="K1885" i="18"/>
  <c r="O1885" i="18" s="1"/>
  <c r="K1881" i="18"/>
  <c r="O1881" i="18" s="1"/>
  <c r="K1877" i="18"/>
  <c r="O1877" i="18" s="1"/>
  <c r="K1873" i="18"/>
  <c r="O1873" i="18" s="1"/>
  <c r="K1910" i="18"/>
  <c r="O1910" i="18" s="1"/>
  <c r="K1906" i="18"/>
  <c r="O1906" i="18" s="1"/>
  <c r="K1902" i="18"/>
  <c r="O1902" i="18" s="1"/>
  <c r="K1898" i="18"/>
  <c r="O1898" i="18" s="1"/>
  <c r="K1894" i="18"/>
  <c r="O1894" i="18" s="1"/>
  <c r="K1890" i="18"/>
  <c r="O1890" i="18" s="1"/>
  <c r="K1886" i="18"/>
  <c r="O1886" i="18" s="1"/>
  <c r="K1882" i="18"/>
  <c r="O1882" i="18" s="1"/>
  <c r="K1878" i="18"/>
  <c r="O1878" i="18" s="1"/>
  <c r="K1874" i="18"/>
  <c r="O1874" i="18" s="1"/>
  <c r="K1911" i="18"/>
  <c r="O1911" i="18" s="1"/>
  <c r="K1907" i="18"/>
  <c r="O1907" i="18" s="1"/>
  <c r="K1903" i="18"/>
  <c r="O1903" i="18" s="1"/>
  <c r="K1899" i="18"/>
  <c r="O1899" i="18" s="1"/>
  <c r="K1895" i="18"/>
  <c r="O1895" i="18" s="1"/>
  <c r="K1891" i="18"/>
  <c r="O1891" i="18" s="1"/>
  <c r="K1887" i="18"/>
  <c r="O1887" i="18" s="1"/>
  <c r="K1883" i="18"/>
  <c r="O1883" i="18" s="1"/>
  <c r="K1879" i="18"/>
  <c r="O1879" i="18" s="1"/>
  <c r="K1875" i="18"/>
  <c r="O1875" i="18" s="1"/>
  <c r="K1888" i="18"/>
  <c r="O1888" i="18" s="1"/>
  <c r="K1880" i="18"/>
  <c r="O1880" i="18" s="1"/>
  <c r="K1876" i="18"/>
  <c r="O1876" i="18" s="1"/>
  <c r="K1896" i="18"/>
  <c r="O1896" i="18" s="1"/>
  <c r="K1884" i="18"/>
  <c r="O1884" i="18" s="1"/>
  <c r="K1892" i="18"/>
  <c r="O1892" i="18" s="1"/>
  <c r="K1900" i="18"/>
  <c r="O1900" i="18" s="1"/>
  <c r="K1908" i="18"/>
  <c r="O1908" i="18" s="1"/>
  <c r="K1904" i="18"/>
  <c r="O1904" i="18" s="1"/>
  <c r="K1872" i="18"/>
  <c r="O1872" i="18" s="1"/>
  <c r="R1891" i="18"/>
  <c r="S1891" i="18" s="1"/>
  <c r="R1890" i="18"/>
  <c r="S1890" i="18" s="1"/>
  <c r="R1889" i="18"/>
  <c r="S1889" i="18" s="1"/>
  <c r="R1911" i="18"/>
  <c r="S1911" i="18" s="1"/>
  <c r="R1909" i="18"/>
  <c r="S1909" i="18" s="1"/>
  <c r="R1910" i="18"/>
  <c r="S1910" i="18" s="1"/>
  <c r="R1895" i="18"/>
  <c r="S1895" i="18" s="1"/>
  <c r="R1894" i="18"/>
  <c r="S1894" i="18" s="1"/>
  <c r="R1893" i="18"/>
  <c r="S1893" i="18" s="1"/>
  <c r="K1928" i="18"/>
  <c r="O1928" i="18" s="1"/>
  <c r="K2106" i="18"/>
  <c r="O2106" i="18" s="1"/>
  <c r="K1007" i="18"/>
  <c r="O1007" i="18" s="1"/>
  <c r="K999" i="18"/>
  <c r="O999" i="18" s="1"/>
  <c r="K991" i="18"/>
  <c r="O991" i="18" s="1"/>
  <c r="K983" i="18"/>
  <c r="O983" i="18" s="1"/>
  <c r="K1296" i="18"/>
  <c r="O1296" i="18" s="1"/>
  <c r="K1288" i="18"/>
  <c r="O1288" i="18" s="1"/>
  <c r="K1280" i="18"/>
  <c r="O1280" i="18" s="1"/>
  <c r="K1272" i="18"/>
  <c r="O1272" i="18" s="1"/>
  <c r="K1264" i="18"/>
  <c r="O1264" i="18" s="1"/>
  <c r="K1256" i="18"/>
  <c r="O1256" i="18" s="1"/>
  <c r="K1248" i="18"/>
  <c r="O1248" i="18" s="1"/>
  <c r="K1240" i="18"/>
  <c r="O1240" i="18" s="1"/>
  <c r="K1232" i="18"/>
  <c r="O1232" i="18" s="1"/>
  <c r="K1224" i="18"/>
  <c r="O1224" i="18" s="1"/>
  <c r="K1299" i="18"/>
  <c r="O1299" i="18" s="1"/>
  <c r="K1291" i="18"/>
  <c r="O1291" i="18" s="1"/>
  <c r="K1283" i="18"/>
  <c r="O1283" i="18" s="1"/>
  <c r="K1275" i="18"/>
  <c r="O1275" i="18" s="1"/>
  <c r="K1267" i="18"/>
  <c r="O1267" i="18" s="1"/>
  <c r="K1259" i="18"/>
  <c r="O1259" i="18" s="1"/>
  <c r="K1251" i="18"/>
  <c r="O1251" i="18" s="1"/>
  <c r="K1243" i="18"/>
  <c r="O1243" i="18" s="1"/>
  <c r="K1235" i="18"/>
  <c r="O1235" i="18" s="1"/>
  <c r="K1227" i="18"/>
  <c r="O1227" i="18" s="1"/>
  <c r="K1219" i="18"/>
  <c r="O1219" i="18" s="1"/>
  <c r="K1211" i="18"/>
  <c r="O1211" i="18" s="1"/>
  <c r="K1203" i="18"/>
  <c r="O1203" i="18" s="1"/>
  <c r="K1195" i="18"/>
  <c r="O1195" i="18" s="1"/>
  <c r="K1187" i="18"/>
  <c r="O1187" i="18" s="1"/>
  <c r="K1179" i="18"/>
  <c r="O1179" i="18" s="1"/>
  <c r="K1173" i="18"/>
  <c r="O1173" i="18" s="1"/>
  <c r="K1165" i="18"/>
  <c r="O1165" i="18" s="1"/>
  <c r="K1157" i="18"/>
  <c r="O1157" i="18" s="1"/>
  <c r="K1149" i="18"/>
  <c r="O1149" i="18" s="1"/>
  <c r="K1141" i="18"/>
  <c r="O1141" i="18" s="1"/>
  <c r="K1056" i="18"/>
  <c r="O1056" i="18" s="1"/>
  <c r="K1048" i="18"/>
  <c r="O1048" i="18" s="1"/>
  <c r="K1040" i="18"/>
  <c r="O1040" i="18" s="1"/>
  <c r="K1032" i="18"/>
  <c r="O1032" i="18" s="1"/>
  <c r="K1024" i="18"/>
  <c r="O1024" i="18" s="1"/>
  <c r="K1016" i="18"/>
  <c r="O1016" i="18" s="1"/>
  <c r="K1008" i="18"/>
  <c r="O1008" i="18" s="1"/>
  <c r="K1000" i="18"/>
  <c r="O1000" i="18" s="1"/>
  <c r="K992" i="18"/>
  <c r="O992" i="18" s="1"/>
  <c r="K984" i="18"/>
  <c r="O984" i="18" s="1"/>
  <c r="K976" i="18"/>
  <c r="O976" i="18" s="1"/>
  <c r="K1300" i="18"/>
  <c r="O1300" i="18" s="1"/>
  <c r="K1292" i="18"/>
  <c r="O1292" i="18" s="1"/>
  <c r="K1284" i="18"/>
  <c r="O1284" i="18" s="1"/>
  <c r="K1276" i="18"/>
  <c r="O1276" i="18" s="1"/>
  <c r="K1268" i="18"/>
  <c r="O1268" i="18" s="1"/>
  <c r="K1260" i="18"/>
  <c r="O1260" i="18" s="1"/>
  <c r="K1252" i="18"/>
  <c r="O1252" i="18" s="1"/>
  <c r="K1244" i="18"/>
  <c r="O1244" i="18" s="1"/>
  <c r="K1236" i="18"/>
  <c r="O1236" i="18" s="1"/>
  <c r="K1228" i="18"/>
  <c r="O1228" i="18" s="1"/>
  <c r="K1220" i="18"/>
  <c r="O1220" i="18" s="1"/>
  <c r="K1212" i="18"/>
  <c r="O1212" i="18" s="1"/>
  <c r="K1204" i="18"/>
  <c r="O1204" i="18" s="1"/>
  <c r="K1196" i="18"/>
  <c r="O1196" i="18" s="1"/>
  <c r="K1188" i="18"/>
  <c r="O1188" i="18" s="1"/>
  <c r="K1180" i="18"/>
  <c r="O1180" i="18" s="1"/>
  <c r="K1174" i="18"/>
  <c r="O1174" i="18" s="1"/>
  <c r="K1166" i="18"/>
  <c r="O1166" i="18" s="1"/>
  <c r="K1158" i="18"/>
  <c r="O1158" i="18" s="1"/>
  <c r="K1150" i="18"/>
  <c r="O1150" i="18" s="1"/>
  <c r="K1142" i="18"/>
  <c r="O1142" i="18" s="1"/>
  <c r="K1134" i="18"/>
  <c r="O1134" i="18" s="1"/>
  <c r="K1126" i="18"/>
  <c r="O1126" i="18" s="1"/>
  <c r="K1118" i="18"/>
  <c r="O1118" i="18" s="1"/>
  <c r="K1110" i="18"/>
  <c r="O1110" i="18" s="1"/>
  <c r="K1102" i="18"/>
  <c r="O1102" i="18" s="1"/>
  <c r="K1094" i="18"/>
  <c r="O1094" i="18" s="1"/>
  <c r="K1086" i="18"/>
  <c r="O1086" i="18" s="1"/>
  <c r="K1078" i="18"/>
  <c r="O1078" i="18" s="1"/>
  <c r="K1070" i="18"/>
  <c r="O1070" i="18" s="1"/>
  <c r="K1022" i="18"/>
  <c r="O1022" i="18" s="1"/>
  <c r="K1006" i="18"/>
  <c r="O1006" i="18" s="1"/>
  <c r="K1298" i="18"/>
  <c r="O1298" i="18" s="1"/>
  <c r="K1234" i="18"/>
  <c r="O1234" i="18" s="1"/>
  <c r="K1124" i="18"/>
  <c r="O1124" i="18" s="1"/>
  <c r="K1093" i="18"/>
  <c r="O1093" i="18" s="1"/>
  <c r="K1053" i="18"/>
  <c r="O1053" i="18" s="1"/>
  <c r="K966" i="18"/>
  <c r="O966" i="18" s="1"/>
  <c r="K1005" i="18"/>
  <c r="O1005" i="18" s="1"/>
  <c r="K973" i="18"/>
  <c r="O973" i="18" s="1"/>
  <c r="K1258" i="18"/>
  <c r="O1258" i="18" s="1"/>
  <c r="K1117" i="18"/>
  <c r="O1117" i="18" s="1"/>
  <c r="K1084" i="18"/>
  <c r="O1084" i="18" s="1"/>
  <c r="K1044" i="18"/>
  <c r="O1044" i="18" s="1"/>
  <c r="K1020" i="18"/>
  <c r="O1020" i="18" s="1"/>
  <c r="K996" i="18"/>
  <c r="O996" i="18" s="1"/>
  <c r="K981" i="18"/>
  <c r="O981" i="18" s="1"/>
  <c r="K1282" i="18"/>
  <c r="O1282" i="18" s="1"/>
  <c r="K1218" i="18"/>
  <c r="O1218" i="18" s="1"/>
  <c r="K1202" i="18"/>
  <c r="O1202" i="18" s="1"/>
  <c r="K1186" i="18"/>
  <c r="O1186" i="18" s="1"/>
  <c r="K1164" i="18"/>
  <c r="O1164" i="18" s="1"/>
  <c r="K1148" i="18"/>
  <c r="O1148" i="18" s="1"/>
  <c r="K1108" i="18"/>
  <c r="O1108" i="18" s="1"/>
  <c r="K1077" i="18"/>
  <c r="O1077" i="18" s="1"/>
  <c r="K1037" i="18"/>
  <c r="O1037" i="18" s="1"/>
  <c r="K1013" i="18"/>
  <c r="O1013" i="18" s="1"/>
  <c r="K1100" i="18"/>
  <c r="O1100" i="18" s="1"/>
  <c r="K1069" i="18"/>
  <c r="O1069" i="18" s="1"/>
  <c r="K1060" i="18"/>
  <c r="O1060" i="18" s="1"/>
  <c r="K1242" i="18"/>
  <c r="O1242" i="18" s="1"/>
  <c r="K1132" i="18"/>
  <c r="O1132" i="18" s="1"/>
  <c r="K1101" i="18"/>
  <c r="O1101" i="18" s="1"/>
  <c r="K1068" i="18"/>
  <c r="O1068" i="18" s="1"/>
  <c r="K1061" i="18"/>
  <c r="O1061" i="18" s="1"/>
  <c r="K1028" i="18"/>
  <c r="O1028" i="18" s="1"/>
  <c r="K1004" i="18"/>
  <c r="O1004" i="18" s="1"/>
  <c r="K989" i="18"/>
  <c r="O989" i="18" s="1"/>
  <c r="K972" i="18"/>
  <c r="O972" i="18" s="1"/>
  <c r="K1029" i="18"/>
  <c r="O1029" i="18" s="1"/>
  <c r="K1266" i="18"/>
  <c r="O1266" i="18" s="1"/>
  <c r="K1125" i="18"/>
  <c r="O1125" i="18" s="1"/>
  <c r="K1092" i="18"/>
  <c r="O1092" i="18" s="1"/>
  <c r="K1052" i="18"/>
  <c r="O1052" i="18" s="1"/>
  <c r="K970" i="18"/>
  <c r="O970" i="18" s="1"/>
  <c r="K1274" i="18"/>
  <c r="O1274" i="18" s="1"/>
  <c r="K988" i="18"/>
  <c r="O988" i="18" s="1"/>
  <c r="K1290" i="18"/>
  <c r="O1290" i="18" s="1"/>
  <c r="K1226" i="18"/>
  <c r="O1226" i="18" s="1"/>
  <c r="K1116" i="18"/>
  <c r="O1116" i="18" s="1"/>
  <c r="K1085" i="18"/>
  <c r="O1085" i="18" s="1"/>
  <c r="K1045" i="18"/>
  <c r="O1045" i="18" s="1"/>
  <c r="K1021" i="18"/>
  <c r="O1021" i="18" s="1"/>
  <c r="K997" i="18"/>
  <c r="O997" i="18" s="1"/>
  <c r="K980" i="18"/>
  <c r="O980" i="18" s="1"/>
  <c r="K1133" i="18"/>
  <c r="O1133" i="18" s="1"/>
  <c r="K971" i="18"/>
  <c r="O971" i="18" s="1"/>
  <c r="K1250" i="18"/>
  <c r="O1250" i="18" s="1"/>
  <c r="K1210" i="18"/>
  <c r="O1210" i="18" s="1"/>
  <c r="K1194" i="18"/>
  <c r="O1194" i="18" s="1"/>
  <c r="K1178" i="18"/>
  <c r="O1178" i="18" s="1"/>
  <c r="K1172" i="18"/>
  <c r="O1172" i="18" s="1"/>
  <c r="K1156" i="18"/>
  <c r="O1156" i="18" s="1"/>
  <c r="K1140" i="18"/>
  <c r="O1140" i="18" s="1"/>
  <c r="K1109" i="18"/>
  <c r="O1109" i="18" s="1"/>
  <c r="K1076" i="18"/>
  <c r="O1076" i="18" s="1"/>
  <c r="K1036" i="18"/>
  <c r="O1036" i="18" s="1"/>
  <c r="K1012" i="18"/>
  <c r="O1012" i="18" s="1"/>
  <c r="K969" i="18"/>
  <c r="O969" i="18" s="1"/>
  <c r="K1058" i="18"/>
  <c r="O1058" i="18" s="1"/>
  <c r="K1294" i="18"/>
  <c r="O1294" i="18" s="1"/>
  <c r="K1254" i="18"/>
  <c r="O1254" i="18" s="1"/>
  <c r="K1043" i="18"/>
  <c r="O1043" i="18" s="1"/>
  <c r="K1138" i="18"/>
  <c r="O1138" i="18" s="1"/>
  <c r="K1270" i="18"/>
  <c r="O1270" i="18" s="1"/>
  <c r="K978" i="18"/>
  <c r="O978" i="18" s="1"/>
  <c r="K1123" i="18"/>
  <c r="O1123" i="18" s="1"/>
  <c r="K1246" i="18"/>
  <c r="O1246" i="18" s="1"/>
  <c r="K1135" i="18"/>
  <c r="O1135" i="18" s="1"/>
  <c r="K1030" i="18"/>
  <c r="O1030" i="18" s="1"/>
  <c r="K1103" i="18"/>
  <c r="O1103" i="18" s="1"/>
  <c r="K1181" i="18"/>
  <c r="O1181" i="18" s="1"/>
  <c r="K1253" i="18"/>
  <c r="O1253" i="18" s="1"/>
  <c r="K1015" i="18"/>
  <c r="O1015" i="18" s="1"/>
  <c r="K1112" i="18"/>
  <c r="O1112" i="18" s="1"/>
  <c r="K1209" i="18"/>
  <c r="O1209" i="18" s="1"/>
  <c r="K1221" i="18"/>
  <c r="O1221" i="18" s="1"/>
  <c r="K1106" i="18"/>
  <c r="O1106" i="18" s="1"/>
  <c r="K1216" i="18"/>
  <c r="O1216" i="18" s="1"/>
  <c r="K1263" i="18"/>
  <c r="O1263" i="18" s="1"/>
  <c r="K1073" i="18"/>
  <c r="O1073" i="18" s="1"/>
  <c r="K1237" i="18"/>
  <c r="O1237" i="18" s="1"/>
  <c r="K967" i="18"/>
  <c r="O967" i="18" s="1"/>
  <c r="K1080" i="18"/>
  <c r="O1080" i="18" s="1"/>
  <c r="K1185" i="18"/>
  <c r="O1185" i="18" s="1"/>
  <c r="K1301" i="18"/>
  <c r="O1301" i="18" s="1"/>
  <c r="K1281" i="18"/>
  <c r="O1281" i="18" s="1"/>
  <c r="K1047" i="18"/>
  <c r="O1047" i="18" s="1"/>
  <c r="K1154" i="18"/>
  <c r="O1154" i="18" s="1"/>
  <c r="K1279" i="18"/>
  <c r="O1279" i="18" s="1"/>
  <c r="K993" i="18"/>
  <c r="O993" i="18" s="1"/>
  <c r="K1127" i="18"/>
  <c r="O1127" i="18" s="1"/>
  <c r="K1255" i="18"/>
  <c r="O1255" i="18" s="1"/>
  <c r="K1167" i="18"/>
  <c r="O1167" i="18" s="1"/>
  <c r="K1050" i="18"/>
  <c r="O1050" i="18" s="1"/>
  <c r="K1136" i="18"/>
  <c r="O1136" i="18" s="1"/>
  <c r="K1190" i="18"/>
  <c r="O1190" i="18" s="1"/>
  <c r="K1286" i="18"/>
  <c r="O1286" i="18" s="1"/>
  <c r="K1026" i="18"/>
  <c r="O1026" i="18" s="1"/>
  <c r="K1121" i="18"/>
  <c r="O1121" i="18" s="1"/>
  <c r="K1225" i="18"/>
  <c r="O1225" i="18" s="1"/>
  <c r="K979" i="18"/>
  <c r="O979" i="18" s="1"/>
  <c r="K1115" i="18"/>
  <c r="O1115" i="18" s="1"/>
  <c r="K1238" i="18"/>
  <c r="O1238" i="18" s="1"/>
  <c r="K977" i="18"/>
  <c r="O977" i="18" s="1"/>
  <c r="K1082" i="18"/>
  <c r="O1082" i="18" s="1"/>
  <c r="K1191" i="18"/>
  <c r="O1191" i="18" s="1"/>
  <c r="K1215" i="18"/>
  <c r="O1215" i="18" s="1"/>
  <c r="K1079" i="18"/>
  <c r="O1079" i="18" s="1"/>
  <c r="K1169" i="18"/>
  <c r="O1169" i="18" s="1"/>
  <c r="K968" i="18"/>
  <c r="O968" i="18" s="1"/>
  <c r="K1089" i="18"/>
  <c r="O1089" i="18" s="1"/>
  <c r="K1201" i="18"/>
  <c r="O1201" i="18" s="1"/>
  <c r="K1031" i="18"/>
  <c r="O1031" i="18" s="1"/>
  <c r="K982" i="18"/>
  <c r="O982" i="18" s="1"/>
  <c r="K1065" i="18"/>
  <c r="O1065" i="18" s="1"/>
  <c r="K1170" i="18"/>
  <c r="O1170" i="18" s="1"/>
  <c r="K1297" i="18"/>
  <c r="O1297" i="18" s="1"/>
  <c r="K1017" i="18"/>
  <c r="O1017" i="18" s="1"/>
  <c r="K1145" i="18"/>
  <c r="O1145" i="18" s="1"/>
  <c r="K1273" i="18"/>
  <c r="O1273" i="18" s="1"/>
  <c r="K1059" i="18"/>
  <c r="O1059" i="18" s="1"/>
  <c r="K1143" i="18"/>
  <c r="O1143" i="18" s="1"/>
  <c r="K1197" i="18"/>
  <c r="O1197" i="18" s="1"/>
  <c r="K1295" i="18"/>
  <c r="O1295" i="18" s="1"/>
  <c r="K1035" i="18"/>
  <c r="O1035" i="18" s="1"/>
  <c r="K1130" i="18"/>
  <c r="O1130" i="18" s="1"/>
  <c r="K1229" i="18"/>
  <c r="O1229" i="18" s="1"/>
  <c r="K998" i="18"/>
  <c r="O998" i="18" s="1"/>
  <c r="K1119" i="18"/>
  <c r="O1119" i="18" s="1"/>
  <c r="K1247" i="18"/>
  <c r="O1247" i="18" s="1"/>
  <c r="K994" i="18"/>
  <c r="O994" i="18" s="1"/>
  <c r="K1091" i="18"/>
  <c r="O1091" i="18" s="1"/>
  <c r="K1207" i="18"/>
  <c r="O1207" i="18" s="1"/>
  <c r="K1114" i="18"/>
  <c r="O1114" i="18" s="1"/>
  <c r="K1193" i="18"/>
  <c r="O1193" i="18" s="1"/>
  <c r="K1287" i="18"/>
  <c r="O1287" i="18" s="1"/>
  <c r="K986" i="18"/>
  <c r="O986" i="18" s="1"/>
  <c r="K1098" i="18"/>
  <c r="O1098" i="18" s="1"/>
  <c r="K1217" i="18"/>
  <c r="O1217" i="18" s="1"/>
  <c r="K1062" i="18"/>
  <c r="O1062" i="18" s="1"/>
  <c r="K995" i="18"/>
  <c r="O995" i="18" s="1"/>
  <c r="K1074" i="18"/>
  <c r="O1074" i="18" s="1"/>
  <c r="K1176" i="18"/>
  <c r="O1176" i="18" s="1"/>
  <c r="K1027" i="18"/>
  <c r="O1027" i="18" s="1"/>
  <c r="K1041" i="18"/>
  <c r="O1041" i="18" s="1"/>
  <c r="K1161" i="18"/>
  <c r="O1161" i="18" s="1"/>
  <c r="K1277" i="18"/>
  <c r="O1277" i="18" s="1"/>
  <c r="K1189" i="18"/>
  <c r="O1189" i="18" s="1"/>
  <c r="K1063" i="18"/>
  <c r="O1063" i="18" s="1"/>
  <c r="K1152" i="18"/>
  <c r="O1152" i="18" s="1"/>
  <c r="K1206" i="18"/>
  <c r="O1206" i="18" s="1"/>
  <c r="K975" i="18"/>
  <c r="O975" i="18" s="1"/>
  <c r="K1039" i="18"/>
  <c r="O1039" i="18" s="1"/>
  <c r="K1139" i="18"/>
  <c r="O1139" i="18" s="1"/>
  <c r="K1262" i="18"/>
  <c r="O1262" i="18" s="1"/>
  <c r="K1009" i="18"/>
  <c r="O1009" i="18" s="1"/>
  <c r="K1146" i="18"/>
  <c r="O1146" i="18" s="1"/>
  <c r="K1265" i="18"/>
  <c r="O1265" i="18" s="1"/>
  <c r="K1018" i="18"/>
  <c r="O1018" i="18" s="1"/>
  <c r="K1095" i="18"/>
  <c r="O1095" i="18" s="1"/>
  <c r="K1223" i="18"/>
  <c r="O1223" i="18" s="1"/>
  <c r="K1261" i="18"/>
  <c r="O1261" i="18" s="1"/>
  <c r="K1097" i="18"/>
  <c r="O1097" i="18" s="1"/>
  <c r="K1064" i="18"/>
  <c r="O1064" i="18" s="1"/>
  <c r="K1001" i="18"/>
  <c r="O1001" i="18" s="1"/>
  <c r="K1107" i="18"/>
  <c r="O1107" i="18" s="1"/>
  <c r="K1230" i="18"/>
  <c r="O1230" i="18" s="1"/>
  <c r="K1151" i="18"/>
  <c r="O1151" i="18" s="1"/>
  <c r="K1010" i="18"/>
  <c r="O1010" i="18" s="1"/>
  <c r="K1083" i="18"/>
  <c r="O1083" i="18" s="1"/>
  <c r="K1192" i="18"/>
  <c r="O1192" i="18" s="1"/>
  <c r="K1071" i="18"/>
  <c r="O1071" i="18" s="1"/>
  <c r="K1054" i="18"/>
  <c r="O1054" i="18" s="1"/>
  <c r="K990" i="18"/>
  <c r="O990" i="18" s="1"/>
  <c r="K1205" i="18"/>
  <c r="O1205" i="18" s="1"/>
  <c r="K1072" i="18"/>
  <c r="O1072" i="18" s="1"/>
  <c r="K1159" i="18"/>
  <c r="O1159" i="18" s="1"/>
  <c r="K1213" i="18"/>
  <c r="O1213" i="18" s="1"/>
  <c r="K1214" i="18"/>
  <c r="O1214" i="18" s="1"/>
  <c r="K1057" i="18"/>
  <c r="O1057" i="18" s="1"/>
  <c r="K1155" i="18"/>
  <c r="O1155" i="18" s="1"/>
  <c r="K1271" i="18"/>
  <c r="O1271" i="18" s="1"/>
  <c r="K1033" i="18"/>
  <c r="O1033" i="18" s="1"/>
  <c r="K1162" i="18"/>
  <c r="O1162" i="18" s="1"/>
  <c r="K1269" i="18"/>
  <c r="O1269" i="18" s="1"/>
  <c r="K1042" i="18"/>
  <c r="O1042" i="18" s="1"/>
  <c r="K1128" i="18"/>
  <c r="O1128" i="18" s="1"/>
  <c r="K1241" i="18"/>
  <c r="O1241" i="18" s="1"/>
  <c r="K1163" i="18"/>
  <c r="O1163" i="18" s="1"/>
  <c r="K1011" i="18"/>
  <c r="O1011" i="18" s="1"/>
  <c r="K1200" i="18"/>
  <c r="O1200" i="18" s="1"/>
  <c r="K1014" i="18"/>
  <c r="O1014" i="18" s="1"/>
  <c r="K1111" i="18"/>
  <c r="O1111" i="18" s="1"/>
  <c r="K1239" i="18"/>
  <c r="O1239" i="18" s="1"/>
  <c r="K1160" i="18"/>
  <c r="O1160" i="18" s="1"/>
  <c r="K1019" i="18"/>
  <c r="O1019" i="18" s="1"/>
  <c r="K1087" i="18"/>
  <c r="O1087" i="18" s="1"/>
  <c r="K1208" i="18"/>
  <c r="O1208" i="18" s="1"/>
  <c r="K1131" i="18"/>
  <c r="O1131" i="18" s="1"/>
  <c r="K1096" i="18"/>
  <c r="O1096" i="18" s="1"/>
  <c r="K1183" i="18"/>
  <c r="O1183" i="18" s="1"/>
  <c r="K1003" i="18"/>
  <c r="O1003" i="18" s="1"/>
  <c r="K1285" i="18"/>
  <c r="O1285" i="18" s="1"/>
  <c r="K1081" i="18"/>
  <c r="O1081" i="18" s="1"/>
  <c r="K1168" i="18"/>
  <c r="O1168" i="18" s="1"/>
  <c r="K1222" i="18"/>
  <c r="O1222" i="18" s="1"/>
  <c r="K985" i="18"/>
  <c r="O985" i="18" s="1"/>
  <c r="K1066" i="18"/>
  <c r="O1066" i="18" s="1"/>
  <c r="K1171" i="18"/>
  <c r="O1171" i="18" s="1"/>
  <c r="K1289" i="18"/>
  <c r="O1289" i="18" s="1"/>
  <c r="K1046" i="18"/>
  <c r="O1046" i="18" s="1"/>
  <c r="K1049" i="18"/>
  <c r="O1049" i="18" s="1"/>
  <c r="K1051" i="18"/>
  <c r="O1051" i="18" s="1"/>
  <c r="K1137" i="18"/>
  <c r="O1137" i="18" s="1"/>
  <c r="K1245" i="18"/>
  <c r="O1245" i="18" s="1"/>
  <c r="K1198" i="18"/>
  <c r="O1198" i="18" s="1"/>
  <c r="K1249" i="18"/>
  <c r="O1249" i="18" s="1"/>
  <c r="K1302" i="18"/>
  <c r="O1302" i="18" s="1"/>
  <c r="K1113" i="18"/>
  <c r="O1113" i="18" s="1"/>
  <c r="K1025" i="18"/>
  <c r="O1025" i="18" s="1"/>
  <c r="K1147" i="18"/>
  <c r="O1147" i="18" s="1"/>
  <c r="K1257" i="18"/>
  <c r="O1257" i="18" s="1"/>
  <c r="K1023" i="18"/>
  <c r="O1023" i="18" s="1"/>
  <c r="K1120" i="18"/>
  <c r="O1120" i="18" s="1"/>
  <c r="K1233" i="18"/>
  <c r="O1233" i="18" s="1"/>
  <c r="K1144" i="18"/>
  <c r="O1144" i="18" s="1"/>
  <c r="K1105" i="18"/>
  <c r="O1105" i="18" s="1"/>
  <c r="K1199" i="18"/>
  <c r="O1199" i="18" s="1"/>
  <c r="K1104" i="18"/>
  <c r="O1104" i="18" s="1"/>
  <c r="K974" i="18"/>
  <c r="O974" i="18" s="1"/>
  <c r="K1090" i="18"/>
  <c r="O1090" i="18" s="1"/>
  <c r="K1175" i="18"/>
  <c r="O1175" i="18" s="1"/>
  <c r="K1231" i="18"/>
  <c r="O1231" i="18" s="1"/>
  <c r="K1002" i="18"/>
  <c r="O1002" i="18" s="1"/>
  <c r="K1075" i="18"/>
  <c r="O1075" i="18" s="1"/>
  <c r="K1177" i="18"/>
  <c r="O1177" i="18" s="1"/>
  <c r="K1293" i="18"/>
  <c r="O1293" i="18" s="1"/>
  <c r="K1088" i="18"/>
  <c r="O1088" i="18" s="1"/>
  <c r="K1184" i="18"/>
  <c r="O1184" i="18" s="1"/>
  <c r="K1067" i="18"/>
  <c r="O1067" i="18" s="1"/>
  <c r="K1055" i="18"/>
  <c r="O1055" i="18" s="1"/>
  <c r="K1153" i="18"/>
  <c r="O1153" i="18" s="1"/>
  <c r="K1278" i="18"/>
  <c r="O1278" i="18" s="1"/>
  <c r="K1038" i="18"/>
  <c r="O1038" i="18" s="1"/>
  <c r="K1034" i="18"/>
  <c r="O1034" i="18" s="1"/>
  <c r="K1129" i="18"/>
  <c r="O1129" i="18" s="1"/>
  <c r="K1182" i="18"/>
  <c r="O1182" i="18" s="1"/>
  <c r="K1122" i="18"/>
  <c r="O1122" i="18" s="1"/>
  <c r="K987" i="18"/>
  <c r="O987" i="18" s="1"/>
  <c r="K1099" i="18"/>
  <c r="O1099" i="18" s="1"/>
  <c r="K1603" i="18"/>
  <c r="O1603" i="18" s="1"/>
  <c r="K1595" i="18"/>
  <c r="O1595" i="18" s="1"/>
  <c r="K1587" i="18"/>
  <c r="O1587" i="18" s="1"/>
  <c r="K1579" i="18"/>
  <c r="O1579" i="18" s="1"/>
  <c r="K1571" i="18"/>
  <c r="O1571" i="18" s="1"/>
  <c r="K1563" i="18"/>
  <c r="O1563" i="18" s="1"/>
  <c r="K1555" i="18"/>
  <c r="O1555" i="18" s="1"/>
  <c r="K1547" i="18"/>
  <c r="O1547" i="18" s="1"/>
  <c r="K1539" i="18"/>
  <c r="O1539" i="18" s="1"/>
  <c r="K1531" i="18"/>
  <c r="O1531" i="18" s="1"/>
  <c r="K1523" i="18"/>
  <c r="O1523" i="18" s="1"/>
  <c r="K1515" i="18"/>
  <c r="O1515" i="18" s="1"/>
  <c r="K1507" i="18"/>
  <c r="O1507" i="18" s="1"/>
  <c r="K1499" i="18"/>
  <c r="O1499" i="18" s="1"/>
  <c r="K1491" i="18"/>
  <c r="O1491" i="18" s="1"/>
  <c r="K1483" i="18"/>
  <c r="O1483" i="18" s="1"/>
  <c r="K1475" i="18"/>
  <c r="O1475" i="18" s="1"/>
  <c r="K1467" i="18"/>
  <c r="O1467" i="18" s="1"/>
  <c r="K1459" i="18"/>
  <c r="O1459" i="18" s="1"/>
  <c r="K1598" i="18"/>
  <c r="O1598" i="18" s="1"/>
  <c r="K1590" i="18"/>
  <c r="O1590" i="18" s="1"/>
  <c r="K1582" i="18"/>
  <c r="O1582" i="18" s="1"/>
  <c r="K1574" i="18"/>
  <c r="O1574" i="18" s="1"/>
  <c r="K1566" i="18"/>
  <c r="O1566" i="18" s="1"/>
  <c r="K1558" i="18"/>
  <c r="O1558" i="18" s="1"/>
  <c r="K1550" i="18"/>
  <c r="O1550" i="18" s="1"/>
  <c r="K1542" i="18"/>
  <c r="O1542" i="18" s="1"/>
  <c r="K1534" i="18"/>
  <c r="O1534" i="18" s="1"/>
  <c r="K1526" i="18"/>
  <c r="O1526" i="18" s="1"/>
  <c r="K1518" i="18"/>
  <c r="O1518" i="18" s="1"/>
  <c r="K1510" i="18"/>
  <c r="O1510" i="18" s="1"/>
  <c r="K1502" i="18"/>
  <c r="O1502" i="18" s="1"/>
  <c r="K1494" i="18"/>
  <c r="O1494" i="18" s="1"/>
  <c r="K1486" i="18"/>
  <c r="O1486" i="18" s="1"/>
  <c r="K1478" i="18"/>
  <c r="O1478" i="18" s="1"/>
  <c r="K1470" i="18"/>
  <c r="O1470" i="18" s="1"/>
  <c r="K1462" i="18"/>
  <c r="O1462" i="18" s="1"/>
  <c r="K1454" i="18"/>
  <c r="O1454" i="18" s="1"/>
  <c r="K1411" i="18"/>
  <c r="O1411" i="18" s="1"/>
  <c r="K1395" i="18"/>
  <c r="O1395" i="18" s="1"/>
  <c r="K1379" i="18"/>
  <c r="O1379" i="18" s="1"/>
  <c r="K1363" i="18"/>
  <c r="O1363" i="18" s="1"/>
  <c r="K736" i="18"/>
  <c r="O736" i="18" s="1"/>
  <c r="K1540" i="18"/>
  <c r="O1540" i="18" s="1"/>
  <c r="K1532" i="18"/>
  <c r="O1532" i="18" s="1"/>
  <c r="K1448" i="18"/>
  <c r="O1448" i="18" s="1"/>
  <c r="K1420" i="18"/>
  <c r="O1420" i="18" s="1"/>
  <c r="K1409" i="18"/>
  <c r="O1409" i="18" s="1"/>
  <c r="K1393" i="18"/>
  <c r="O1393" i="18" s="1"/>
  <c r="K1377" i="18"/>
  <c r="O1377" i="18" s="1"/>
  <c r="K1361" i="18"/>
  <c r="O1361" i="18" s="1"/>
  <c r="K1354" i="18"/>
  <c r="O1354" i="18" s="1"/>
  <c r="K1349" i="18"/>
  <c r="O1349" i="18" s="1"/>
  <c r="K1341" i="18"/>
  <c r="O1341" i="18" s="1"/>
  <c r="K1333" i="18"/>
  <c r="O1333" i="18" s="1"/>
  <c r="K1596" i="18"/>
  <c r="O1596" i="18" s="1"/>
  <c r="K1516" i="18"/>
  <c r="O1516" i="18" s="1"/>
  <c r="K1484" i="18"/>
  <c r="O1484" i="18" s="1"/>
  <c r="K1428" i="18"/>
  <c r="O1428" i="18" s="1"/>
  <c r="K1381" i="18"/>
  <c r="O1381" i="18" s="1"/>
  <c r="K1407" i="18"/>
  <c r="O1407" i="18" s="1"/>
  <c r="K1391" i="18"/>
  <c r="O1391" i="18" s="1"/>
  <c r="K1375" i="18"/>
  <c r="O1375" i="18" s="1"/>
  <c r="K1359" i="18"/>
  <c r="O1359" i="18" s="1"/>
  <c r="K730" i="18"/>
  <c r="O730" i="18" s="1"/>
  <c r="K1599" i="18"/>
  <c r="O1599" i="18" s="1"/>
  <c r="K1591" i="18"/>
  <c r="O1591" i="18" s="1"/>
  <c r="K1583" i="18"/>
  <c r="O1583" i="18" s="1"/>
  <c r="K1575" i="18"/>
  <c r="O1575" i="18" s="1"/>
  <c r="K1567" i="18"/>
  <c r="O1567" i="18" s="1"/>
  <c r="K1559" i="18"/>
  <c r="O1559" i="18" s="1"/>
  <c r="K1551" i="18"/>
  <c r="O1551" i="18" s="1"/>
  <c r="K1543" i="18"/>
  <c r="O1543" i="18" s="1"/>
  <c r="K1535" i="18"/>
  <c r="O1535" i="18" s="1"/>
  <c r="K1527" i="18"/>
  <c r="O1527" i="18" s="1"/>
  <c r="K1519" i="18"/>
  <c r="O1519" i="18" s="1"/>
  <c r="K1511" i="18"/>
  <c r="O1511" i="18" s="1"/>
  <c r="K1503" i="18"/>
  <c r="O1503" i="18" s="1"/>
  <c r="K1495" i="18"/>
  <c r="O1495" i="18" s="1"/>
  <c r="K1487" i="18"/>
  <c r="O1487" i="18" s="1"/>
  <c r="K1479" i="18"/>
  <c r="O1479" i="18" s="1"/>
  <c r="K1471" i="18"/>
  <c r="O1471" i="18" s="1"/>
  <c r="K1463" i="18"/>
  <c r="O1463" i="18" s="1"/>
  <c r="K1455" i="18"/>
  <c r="O1455" i="18" s="1"/>
  <c r="K1451" i="18"/>
  <c r="O1451" i="18" s="1"/>
  <c r="K1447" i="18"/>
  <c r="O1447" i="18" s="1"/>
  <c r="K1443" i="18"/>
  <c r="O1443" i="18" s="1"/>
  <c r="K1439" i="18"/>
  <c r="O1439" i="18" s="1"/>
  <c r="K1435" i="18"/>
  <c r="O1435" i="18" s="1"/>
  <c r="K1431" i="18"/>
  <c r="O1431" i="18" s="1"/>
  <c r="K1427" i="18"/>
  <c r="O1427" i="18" s="1"/>
  <c r="K1423" i="18"/>
  <c r="O1423" i="18" s="1"/>
  <c r="K1405" i="18"/>
  <c r="O1405" i="18" s="1"/>
  <c r="K1389" i="18"/>
  <c r="O1389" i="18" s="1"/>
  <c r="K1373" i="18"/>
  <c r="O1373" i="18" s="1"/>
  <c r="K1357" i="18"/>
  <c r="O1357" i="18" s="1"/>
  <c r="K1352" i="18"/>
  <c r="O1352" i="18" s="1"/>
  <c r="K1347" i="18"/>
  <c r="O1347" i="18" s="1"/>
  <c r="K1339" i="18"/>
  <c r="O1339" i="18" s="1"/>
  <c r="K1331" i="18"/>
  <c r="O1331" i="18" s="1"/>
  <c r="K731" i="18"/>
  <c r="O731" i="18" s="1"/>
  <c r="K739" i="18"/>
  <c r="O739" i="18" s="1"/>
  <c r="K747" i="18"/>
  <c r="O747" i="18" s="1"/>
  <c r="K1580" i="18"/>
  <c r="O1580" i="18" s="1"/>
  <c r="K1556" i="18"/>
  <c r="O1556" i="18" s="1"/>
  <c r="K1508" i="18"/>
  <c r="O1508" i="18" s="1"/>
  <c r="K1476" i="18"/>
  <c r="O1476" i="18" s="1"/>
  <c r="K1432" i="18"/>
  <c r="O1432" i="18" s="1"/>
  <c r="K1351" i="18"/>
  <c r="O1351" i="18" s="1"/>
  <c r="K1343" i="18"/>
  <c r="O1343" i="18" s="1"/>
  <c r="K1335" i="18"/>
  <c r="O1335" i="18" s="1"/>
  <c r="K735" i="18"/>
  <c r="O735" i="18" s="1"/>
  <c r="K1421" i="18"/>
  <c r="O1421" i="18" s="1"/>
  <c r="K1412" i="18"/>
  <c r="O1412" i="18" s="1"/>
  <c r="K1403" i="18"/>
  <c r="O1403" i="18" s="1"/>
  <c r="K1396" i="18"/>
  <c r="O1396" i="18" s="1"/>
  <c r="K1387" i="18"/>
  <c r="O1387" i="18" s="1"/>
  <c r="K1380" i="18"/>
  <c r="O1380" i="18" s="1"/>
  <c r="K1371" i="18"/>
  <c r="O1371" i="18" s="1"/>
  <c r="K1364" i="18"/>
  <c r="O1364" i="18" s="1"/>
  <c r="K1355" i="18"/>
  <c r="O1355" i="18" s="1"/>
  <c r="K1350" i="18"/>
  <c r="O1350" i="18" s="1"/>
  <c r="K1342" i="18"/>
  <c r="O1342" i="18" s="1"/>
  <c r="K1334" i="18"/>
  <c r="O1334" i="18" s="1"/>
  <c r="K732" i="18"/>
  <c r="O732" i="18" s="1"/>
  <c r="K1588" i="18"/>
  <c r="O1588" i="18" s="1"/>
  <c r="K1564" i="18"/>
  <c r="O1564" i="18" s="1"/>
  <c r="K1524" i="18"/>
  <c r="O1524" i="18" s="1"/>
  <c r="K1468" i="18"/>
  <c r="O1468" i="18" s="1"/>
  <c r="K1460" i="18"/>
  <c r="O1460" i="18" s="1"/>
  <c r="K1444" i="18"/>
  <c r="O1444" i="18" s="1"/>
  <c r="K1436" i="18"/>
  <c r="O1436" i="18" s="1"/>
  <c r="K1413" i="18"/>
  <c r="O1413" i="18" s="1"/>
  <c r="K1365" i="18"/>
  <c r="O1365" i="18" s="1"/>
  <c r="K1419" i="18"/>
  <c r="O1419" i="18" s="1"/>
  <c r="K742" i="18"/>
  <c r="O742" i="18" s="1"/>
  <c r="K1604" i="18"/>
  <c r="O1604" i="18" s="1"/>
  <c r="K1548" i="18"/>
  <c r="O1548" i="18" s="1"/>
  <c r="K1500" i="18"/>
  <c r="O1500" i="18" s="1"/>
  <c r="K1492" i="18"/>
  <c r="O1492" i="18" s="1"/>
  <c r="K1424" i="18"/>
  <c r="O1424" i="18" s="1"/>
  <c r="K1397" i="18"/>
  <c r="O1397" i="18" s="1"/>
  <c r="K743" i="18"/>
  <c r="O743" i="18" s="1"/>
  <c r="K1600" i="18"/>
  <c r="O1600" i="18" s="1"/>
  <c r="K1592" i="18"/>
  <c r="O1592" i="18" s="1"/>
  <c r="K1584" i="18"/>
  <c r="O1584" i="18" s="1"/>
  <c r="K1576" i="18"/>
  <c r="O1576" i="18" s="1"/>
  <c r="K1568" i="18"/>
  <c r="O1568" i="18" s="1"/>
  <c r="K1560" i="18"/>
  <c r="O1560" i="18" s="1"/>
  <c r="K1552" i="18"/>
  <c r="O1552" i="18" s="1"/>
  <c r="K1544" i="18"/>
  <c r="O1544" i="18" s="1"/>
  <c r="K1536" i="18"/>
  <c r="O1536" i="18" s="1"/>
  <c r="K1528" i="18"/>
  <c r="O1528" i="18" s="1"/>
  <c r="K1520" i="18"/>
  <c r="O1520" i="18" s="1"/>
  <c r="K1512" i="18"/>
  <c r="O1512" i="18" s="1"/>
  <c r="K1504" i="18"/>
  <c r="O1504" i="18" s="1"/>
  <c r="K1496" i="18"/>
  <c r="O1496" i="18" s="1"/>
  <c r="K1488" i="18"/>
  <c r="O1488" i="18" s="1"/>
  <c r="K1480" i="18"/>
  <c r="O1480" i="18" s="1"/>
  <c r="K1472" i="18"/>
  <c r="O1472" i="18" s="1"/>
  <c r="K1464" i="18"/>
  <c r="O1464" i="18" s="1"/>
  <c r="K1456" i="18"/>
  <c r="O1456" i="18" s="1"/>
  <c r="K1415" i="18"/>
  <c r="O1415" i="18" s="1"/>
  <c r="K1399" i="18"/>
  <c r="O1399" i="18" s="1"/>
  <c r="K1383" i="18"/>
  <c r="O1383" i="18" s="1"/>
  <c r="K1367" i="18"/>
  <c r="O1367" i="18" s="1"/>
  <c r="K734" i="18"/>
  <c r="O734" i="18" s="1"/>
  <c r="K1572" i="18"/>
  <c r="O1572" i="18" s="1"/>
  <c r="K1452" i="18"/>
  <c r="O1452" i="18" s="1"/>
  <c r="K1440" i="18"/>
  <c r="O1440" i="18" s="1"/>
  <c r="K1327" i="18"/>
  <c r="O1327" i="18" s="1"/>
  <c r="K1337" i="18"/>
  <c r="O1337" i="18" s="1"/>
  <c r="K1404" i="18"/>
  <c r="O1404" i="18" s="1"/>
  <c r="K1345" i="18"/>
  <c r="O1345" i="18" s="1"/>
  <c r="K1400" i="18"/>
  <c r="O1400" i="18" s="1"/>
  <c r="K1417" i="18"/>
  <c r="O1417" i="18" s="1"/>
  <c r="K1514" i="18"/>
  <c r="O1514" i="18" s="1"/>
  <c r="K1578" i="18"/>
  <c r="O1578" i="18" s="1"/>
  <c r="K1374" i="18"/>
  <c r="O1374" i="18" s="1"/>
  <c r="K1437" i="18"/>
  <c r="O1437" i="18" s="1"/>
  <c r="K1485" i="18"/>
  <c r="O1485" i="18" s="1"/>
  <c r="K1549" i="18"/>
  <c r="O1549" i="18" s="1"/>
  <c r="K1489" i="18"/>
  <c r="O1489" i="18" s="1"/>
  <c r="K1553" i="18"/>
  <c r="O1553" i="18" s="1"/>
  <c r="K1446" i="18"/>
  <c r="O1446" i="18" s="1"/>
  <c r="K1390" i="18"/>
  <c r="O1390" i="18" s="1"/>
  <c r="K744" i="18"/>
  <c r="O744" i="18" s="1"/>
  <c r="K738" i="18"/>
  <c r="O738" i="18" s="1"/>
  <c r="K1376" i="18"/>
  <c r="O1376" i="18" s="1"/>
  <c r="K741" i="18"/>
  <c r="O741" i="18" s="1"/>
  <c r="K1330" i="18"/>
  <c r="O1330" i="18" s="1"/>
  <c r="K1458" i="18"/>
  <c r="O1458" i="18" s="1"/>
  <c r="K1522" i="18"/>
  <c r="O1522" i="18" s="1"/>
  <c r="K1586" i="18"/>
  <c r="O1586" i="18" s="1"/>
  <c r="K1362" i="18"/>
  <c r="O1362" i="18" s="1"/>
  <c r="K1366" i="18"/>
  <c r="O1366" i="18" s="1"/>
  <c r="K1441" i="18"/>
  <c r="O1441" i="18" s="1"/>
  <c r="K1493" i="18"/>
  <c r="O1493" i="18" s="1"/>
  <c r="K1557" i="18"/>
  <c r="O1557" i="18" s="1"/>
  <c r="K1497" i="18"/>
  <c r="O1497" i="18" s="1"/>
  <c r="K1561" i="18"/>
  <c r="O1561" i="18" s="1"/>
  <c r="K1370" i="18"/>
  <c r="O1370" i="18" s="1"/>
  <c r="K1426" i="18"/>
  <c r="O1426" i="18" s="1"/>
  <c r="K1340" i="18"/>
  <c r="O1340" i="18" s="1"/>
  <c r="K746" i="18"/>
  <c r="O746" i="18" s="1"/>
  <c r="K1388" i="18"/>
  <c r="O1388" i="18" s="1"/>
  <c r="K749" i="18"/>
  <c r="O749" i="18" s="1"/>
  <c r="K1328" i="18"/>
  <c r="O1328" i="18" s="1"/>
  <c r="K1466" i="18"/>
  <c r="O1466" i="18" s="1"/>
  <c r="K1530" i="18"/>
  <c r="O1530" i="18" s="1"/>
  <c r="K1594" i="18"/>
  <c r="O1594" i="18" s="1"/>
  <c r="K1378" i="18"/>
  <c r="O1378" i="18" s="1"/>
  <c r="K1382" i="18"/>
  <c r="O1382" i="18" s="1"/>
  <c r="K1445" i="18"/>
  <c r="O1445" i="18" s="1"/>
  <c r="K1501" i="18"/>
  <c r="O1501" i="18" s="1"/>
  <c r="K1565" i="18"/>
  <c r="O1565" i="18" s="1"/>
  <c r="K1505" i="18"/>
  <c r="O1505" i="18" s="1"/>
  <c r="K1569" i="18"/>
  <c r="O1569" i="18" s="1"/>
  <c r="K1386" i="18"/>
  <c r="O1386" i="18" s="1"/>
  <c r="K1422" i="18"/>
  <c r="O1422" i="18" s="1"/>
  <c r="K1368" i="18"/>
  <c r="O1368" i="18" s="1"/>
  <c r="K1338" i="18"/>
  <c r="O1338" i="18" s="1"/>
  <c r="K740" i="18"/>
  <c r="O740" i="18" s="1"/>
  <c r="K1353" i="18"/>
  <c r="O1353" i="18" s="1"/>
  <c r="K1344" i="18"/>
  <c r="O1344" i="18" s="1"/>
  <c r="K1474" i="18"/>
  <c r="O1474" i="18" s="1"/>
  <c r="K1538" i="18"/>
  <c r="O1538" i="18" s="1"/>
  <c r="K1602" i="18"/>
  <c r="O1602" i="18" s="1"/>
  <c r="K1394" i="18"/>
  <c r="O1394" i="18" s="1"/>
  <c r="K1398" i="18"/>
  <c r="O1398" i="18" s="1"/>
  <c r="K1449" i="18"/>
  <c r="O1449" i="18" s="1"/>
  <c r="K1509" i="18"/>
  <c r="O1509" i="18" s="1"/>
  <c r="K1573" i="18"/>
  <c r="O1573" i="18" s="1"/>
  <c r="K1513" i="18"/>
  <c r="O1513" i="18" s="1"/>
  <c r="K1577" i="18"/>
  <c r="O1577" i="18" s="1"/>
  <c r="K1402" i="18"/>
  <c r="O1402" i="18" s="1"/>
  <c r="K1401" i="18"/>
  <c r="O1401" i="18" s="1"/>
  <c r="K1385" i="18"/>
  <c r="O1385" i="18" s="1"/>
  <c r="K748" i="18"/>
  <c r="O748" i="18" s="1"/>
  <c r="K1360" i="18"/>
  <c r="O1360" i="18" s="1"/>
  <c r="K1356" i="18"/>
  <c r="O1356" i="18" s="1"/>
  <c r="K1482" i="18"/>
  <c r="O1482" i="18" s="1"/>
  <c r="K1546" i="18"/>
  <c r="O1546" i="18" s="1"/>
  <c r="K1358" i="18"/>
  <c r="O1358" i="18" s="1"/>
  <c r="K1410" i="18"/>
  <c r="O1410" i="18" s="1"/>
  <c r="K1414" i="18"/>
  <c r="O1414" i="18" s="1"/>
  <c r="K1453" i="18"/>
  <c r="O1453" i="18" s="1"/>
  <c r="K1517" i="18"/>
  <c r="O1517" i="18" s="1"/>
  <c r="K1581" i="18"/>
  <c r="O1581" i="18" s="1"/>
  <c r="K1457" i="18"/>
  <c r="O1457" i="18" s="1"/>
  <c r="K1521" i="18"/>
  <c r="O1521" i="18" s="1"/>
  <c r="K1585" i="18"/>
  <c r="O1585" i="18" s="1"/>
  <c r="K1418" i="18"/>
  <c r="O1418" i="18" s="1"/>
  <c r="K737" i="18"/>
  <c r="O737" i="18" s="1"/>
  <c r="K1416" i="18"/>
  <c r="O1416" i="18" s="1"/>
  <c r="K1332" i="18"/>
  <c r="O1332" i="18" s="1"/>
  <c r="K1372" i="18"/>
  <c r="O1372" i="18" s="1"/>
  <c r="K1408" i="18"/>
  <c r="O1408" i="18" s="1"/>
  <c r="K1490" i="18"/>
  <c r="O1490" i="18" s="1"/>
  <c r="K1554" i="18"/>
  <c r="O1554" i="18" s="1"/>
  <c r="K1434" i="18"/>
  <c r="O1434" i="18" s="1"/>
  <c r="K1425" i="18"/>
  <c r="O1425" i="18" s="1"/>
  <c r="K1461" i="18"/>
  <c r="O1461" i="18" s="1"/>
  <c r="K1525" i="18"/>
  <c r="O1525" i="18" s="1"/>
  <c r="K1589" i="18"/>
  <c r="O1589" i="18" s="1"/>
  <c r="K1465" i="18"/>
  <c r="O1465" i="18" s="1"/>
  <c r="K1529" i="18"/>
  <c r="O1529" i="18" s="1"/>
  <c r="K1593" i="18"/>
  <c r="O1593" i="18" s="1"/>
  <c r="K745" i="18"/>
  <c r="O745" i="18" s="1"/>
  <c r="K1329" i="18"/>
  <c r="O1329" i="18" s="1"/>
  <c r="K1348" i="18"/>
  <c r="O1348" i="18" s="1"/>
  <c r="K1346" i="18"/>
  <c r="O1346" i="18" s="1"/>
  <c r="K1430" i="18"/>
  <c r="O1430" i="18" s="1"/>
  <c r="K1498" i="18"/>
  <c r="O1498" i="18" s="1"/>
  <c r="K1562" i="18"/>
  <c r="O1562" i="18" s="1"/>
  <c r="K1442" i="18"/>
  <c r="O1442" i="18" s="1"/>
  <c r="K1429" i="18"/>
  <c r="O1429" i="18" s="1"/>
  <c r="K1469" i="18"/>
  <c r="O1469" i="18" s="1"/>
  <c r="K1533" i="18"/>
  <c r="O1533" i="18" s="1"/>
  <c r="K1597" i="18"/>
  <c r="O1597" i="18" s="1"/>
  <c r="K1473" i="18"/>
  <c r="O1473" i="18" s="1"/>
  <c r="K1537" i="18"/>
  <c r="O1537" i="18" s="1"/>
  <c r="K1601" i="18"/>
  <c r="O1601" i="18" s="1"/>
  <c r="K1392" i="18"/>
  <c r="O1392" i="18" s="1"/>
  <c r="K1336" i="18"/>
  <c r="O1336" i="18" s="1"/>
  <c r="K1369" i="18"/>
  <c r="O1369" i="18" s="1"/>
  <c r="K1384" i="18"/>
  <c r="O1384" i="18" s="1"/>
  <c r="K1506" i="18"/>
  <c r="O1506" i="18" s="1"/>
  <c r="K1570" i="18"/>
  <c r="O1570" i="18" s="1"/>
  <c r="K1450" i="18"/>
  <c r="O1450" i="18" s="1"/>
  <c r="K1406" i="18"/>
  <c r="O1406" i="18" s="1"/>
  <c r="K1433" i="18"/>
  <c r="O1433" i="18" s="1"/>
  <c r="K1477" i="18"/>
  <c r="O1477" i="18" s="1"/>
  <c r="K1541" i="18"/>
  <c r="O1541" i="18" s="1"/>
  <c r="K1481" i="18"/>
  <c r="O1481" i="18" s="1"/>
  <c r="K1545" i="18"/>
  <c r="O1545" i="18" s="1"/>
  <c r="K1438" i="18"/>
  <c r="O1438" i="18" s="1"/>
  <c r="K733" i="18"/>
  <c r="O733" i="18" s="1"/>
  <c r="K729" i="18"/>
  <c r="O729" i="18" s="1"/>
  <c r="K1964" i="18"/>
  <c r="O1964" i="18" s="1"/>
  <c r="K658" i="18"/>
  <c r="O658" i="18" s="1"/>
  <c r="R505" i="18"/>
  <c r="S505" i="18" s="1"/>
  <c r="R200" i="18"/>
  <c r="S200" i="18" s="1"/>
  <c r="Q788" i="18"/>
  <c r="P2658" i="18"/>
  <c r="R1605" i="18"/>
  <c r="S1605" i="18" s="1"/>
  <c r="P2660" i="18"/>
  <c r="Q531" i="18"/>
  <c r="R531" i="18" s="1"/>
  <c r="S531" i="18" s="1"/>
  <c r="R755" i="18"/>
  <c r="S755" i="18" s="1"/>
  <c r="Q728" i="18"/>
  <c r="R728" i="18" s="1"/>
  <c r="S728" i="18" s="1"/>
  <c r="K2076" i="18"/>
  <c r="O2076" i="18" s="1"/>
  <c r="S408" i="18"/>
  <c r="S409" i="18"/>
  <c r="S410" i="18"/>
  <c r="S407" i="18"/>
  <c r="S389" i="18"/>
  <c r="S390" i="18"/>
  <c r="S391" i="18"/>
  <c r="S392" i="18"/>
  <c r="S398" i="18"/>
  <c r="S397" i="18"/>
  <c r="S396" i="18"/>
  <c r="S395" i="18"/>
  <c r="S401" i="18"/>
  <c r="S402" i="18"/>
  <c r="S403" i="18"/>
  <c r="S404" i="18"/>
  <c r="K406" i="18"/>
  <c r="O406" i="18" s="1"/>
  <c r="K388" i="18"/>
  <c r="O388" i="18" s="1"/>
  <c r="K394" i="18"/>
  <c r="O394" i="18" s="1"/>
  <c r="K400" i="18"/>
  <c r="O400" i="18" s="1"/>
  <c r="K2028" i="18"/>
  <c r="O2028" i="18" s="1"/>
  <c r="S420" i="18"/>
  <c r="S419" i="18"/>
  <c r="S421" i="18"/>
  <c r="S422" i="18"/>
  <c r="K418" i="18"/>
  <c r="O418" i="18" s="1"/>
  <c r="K412" i="18"/>
  <c r="O412" i="18" s="1"/>
  <c r="K2004" i="18"/>
  <c r="O2004" i="18" s="1"/>
  <c r="K2020" i="18"/>
  <c r="O2020" i="18" s="1"/>
  <c r="K1948" i="18"/>
  <c r="O1948" i="18" s="1"/>
  <c r="K247" i="18"/>
  <c r="O247" i="18" s="1"/>
  <c r="K424" i="18"/>
  <c r="O424" i="18" s="1"/>
  <c r="K2464" i="18"/>
  <c r="O2464" i="18" s="1"/>
  <c r="K1787" i="18"/>
  <c r="O1787" i="18" s="1"/>
  <c r="K2122" i="18"/>
  <c r="O2122" i="18" s="1"/>
  <c r="K2500" i="18"/>
  <c r="O2500" i="18" s="1"/>
  <c r="K2266" i="18"/>
  <c r="O2266" i="18" s="1"/>
  <c r="K2164" i="18"/>
  <c r="O2164" i="18" s="1"/>
  <c r="K2392" i="18"/>
  <c r="O2392" i="18" s="1"/>
  <c r="R450" i="18"/>
  <c r="S450" i="18" s="1"/>
  <c r="Q476" i="18"/>
  <c r="R476" i="18" s="1"/>
  <c r="S476" i="18" s="1"/>
  <c r="K310" i="18"/>
  <c r="O310" i="18" s="1"/>
  <c r="K340" i="18"/>
  <c r="O340" i="18" s="1"/>
  <c r="K316" i="18"/>
  <c r="O316" i="18" s="1"/>
  <c r="K304" i="18"/>
  <c r="O304" i="18" s="1"/>
  <c r="K334" i="18"/>
  <c r="O334" i="18" s="1"/>
  <c r="K2194" i="18"/>
  <c r="O2194" i="18" s="1"/>
  <c r="K2458" i="18"/>
  <c r="O2458" i="18" s="1"/>
  <c r="K2284" i="18"/>
  <c r="O2284" i="18" s="1"/>
  <c r="R695" i="18"/>
  <c r="S695" i="18" s="1"/>
  <c r="K2140" i="18"/>
  <c r="O2140" i="18" s="1"/>
  <c r="K244" i="18"/>
  <c r="O244" i="18" s="1"/>
  <c r="K236" i="18"/>
  <c r="O236" i="18" s="1"/>
  <c r="K242" i="18"/>
  <c r="O242" i="18" s="1"/>
  <c r="K238" i="18"/>
  <c r="O238" i="18" s="1"/>
  <c r="K237" i="18"/>
  <c r="O237" i="18" s="1"/>
  <c r="K249" i="18"/>
  <c r="O249" i="18" s="1"/>
  <c r="K253" i="18"/>
  <c r="O253" i="18" s="1"/>
  <c r="K245" i="18"/>
  <c r="O245" i="18" s="1"/>
  <c r="K243" i="18"/>
  <c r="O243" i="18" s="1"/>
  <c r="K239" i="18"/>
  <c r="O239" i="18" s="1"/>
  <c r="K241" i="18"/>
  <c r="O241" i="18" s="1"/>
  <c r="K250" i="18"/>
  <c r="O250" i="18" s="1"/>
  <c r="K246" i="18"/>
  <c r="O246" i="18" s="1"/>
  <c r="K248" i="18"/>
  <c r="O248" i="18" s="1"/>
  <c r="K251" i="18"/>
  <c r="O251" i="18" s="1"/>
  <c r="K240" i="18"/>
  <c r="O240" i="18" s="1"/>
  <c r="K252" i="18"/>
  <c r="O252" i="18" s="1"/>
  <c r="K232" i="18"/>
  <c r="O232" i="18" s="1"/>
  <c r="K182" i="18"/>
  <c r="O182" i="18" s="1"/>
  <c r="K176" i="18"/>
  <c r="O176" i="18" s="1"/>
  <c r="K173" i="18"/>
  <c r="O173" i="18" s="1"/>
  <c r="K157" i="18"/>
  <c r="O157" i="18" s="1"/>
  <c r="K141" i="18"/>
  <c r="R90" i="18"/>
  <c r="S90" i="18" s="1"/>
  <c r="Q18" i="18"/>
  <c r="R18" i="18" s="1"/>
  <c r="S18" i="18" s="1"/>
  <c r="K2182" i="18"/>
  <c r="O2182" i="18" s="1"/>
  <c r="Q68" i="18"/>
  <c r="R68" i="18" s="1"/>
  <c r="S68" i="18" s="1"/>
  <c r="R1700" i="18"/>
  <c r="S1700" i="18" s="1"/>
  <c r="K2212" i="18"/>
  <c r="O2212" i="18" s="1"/>
  <c r="K2356" i="18"/>
  <c r="O2356" i="18" s="1"/>
  <c r="K2542" i="18"/>
  <c r="O2542" i="18" s="1"/>
  <c r="K2488" i="18"/>
  <c r="O2488" i="18" s="1"/>
  <c r="K280" i="18"/>
  <c r="O280" i="18" s="1"/>
  <c r="K370" i="18"/>
  <c r="O370" i="18" s="1"/>
  <c r="K494" i="18"/>
  <c r="O494" i="18" s="1"/>
  <c r="K1940" i="18"/>
  <c r="O1940" i="18" s="1"/>
  <c r="K430" i="18"/>
  <c r="O430" i="18" s="1"/>
  <c r="K2548" i="18"/>
  <c r="O2548" i="18" s="1"/>
  <c r="K2572" i="18"/>
  <c r="O2572" i="18" s="1"/>
  <c r="K2188" i="18"/>
  <c r="O2188" i="18" s="1"/>
  <c r="K2422" i="18"/>
  <c r="O2422" i="18" s="1"/>
  <c r="K2200" i="18"/>
  <c r="O2200" i="18" s="1"/>
  <c r="K2254" i="18"/>
  <c r="O2254" i="18" s="1"/>
  <c r="K2416" i="18"/>
  <c r="O2416" i="18" s="1"/>
  <c r="K2248" i="18"/>
  <c r="O2248" i="18" s="1"/>
  <c r="K2560" i="18"/>
  <c r="O2560" i="18" s="1"/>
  <c r="K2530" i="18"/>
  <c r="O2530" i="18" s="1"/>
  <c r="K2170" i="18"/>
  <c r="O2170" i="18" s="1"/>
  <c r="K2374" i="18"/>
  <c r="O2374" i="18" s="1"/>
  <c r="K2278" i="18"/>
  <c r="O2278" i="18" s="1"/>
  <c r="K2314" i="18"/>
  <c r="O2314" i="18" s="1"/>
  <c r="K2476" i="18"/>
  <c r="O2476" i="18" s="1"/>
  <c r="K2344" i="18"/>
  <c r="O2344" i="18" s="1"/>
  <c r="K2350" i="18"/>
  <c r="O2350" i="18" s="1"/>
  <c r="K2470" i="18"/>
  <c r="O2470" i="18" s="1"/>
  <c r="K2494" i="18"/>
  <c r="O2494" i="18" s="1"/>
  <c r="K2260" i="18"/>
  <c r="O2260" i="18" s="1"/>
  <c r="O187" i="18"/>
  <c r="O189" i="18"/>
  <c r="O194" i="18"/>
  <c r="O197" i="18"/>
  <c r="O185" i="18"/>
  <c r="O183" i="18"/>
  <c r="O188" i="18"/>
  <c r="O191" i="18"/>
  <c r="O193" i="18"/>
  <c r="O198" i="18"/>
  <c r="O196" i="18"/>
  <c r="O186" i="18"/>
  <c r="O184" i="18"/>
  <c r="O199" i="18"/>
  <c r="Q116" i="18"/>
  <c r="K2524" i="18"/>
  <c r="O2524" i="18" s="1"/>
  <c r="K2446" i="18"/>
  <c r="O2446" i="18" s="1"/>
  <c r="K2332" i="18"/>
  <c r="O2332" i="18" s="1"/>
  <c r="K2242" i="18"/>
  <c r="O2242" i="18" s="1"/>
  <c r="K2218" i="18"/>
  <c r="O2218" i="18" s="1"/>
  <c r="K2134" i="18"/>
  <c r="O2134" i="18" s="1"/>
  <c r="K2440" i="18"/>
  <c r="O2440" i="18" s="1"/>
  <c r="K2116" i="18"/>
  <c r="O2116" i="18" s="1"/>
  <c r="K2128" i="18"/>
  <c r="O2128" i="18" s="1"/>
  <c r="K2146" i="18"/>
  <c r="O2146" i="18" s="1"/>
  <c r="K2362" i="18"/>
  <c r="O2362" i="18" s="1"/>
  <c r="K2326" i="18"/>
  <c r="O2326" i="18" s="1"/>
  <c r="K2272" i="18"/>
  <c r="O2272" i="18" s="1"/>
  <c r="K2320" i="18"/>
  <c r="O2320" i="18" s="1"/>
  <c r="K2290" i="18"/>
  <c r="O2290" i="18" s="1"/>
  <c r="K2206" i="18"/>
  <c r="O2206" i="18" s="1"/>
  <c r="K2158" i="18"/>
  <c r="O2158" i="18" s="1"/>
  <c r="K2380" i="18"/>
  <c r="O2380" i="18" s="1"/>
  <c r="K2308" i="18"/>
  <c r="O2308" i="18" s="1"/>
  <c r="K2152" i="18"/>
  <c r="O2152" i="18" s="1"/>
  <c r="K2176" i="18"/>
  <c r="O2176" i="18" s="1"/>
  <c r="K2302" i="18"/>
  <c r="O2302" i="18" s="1"/>
  <c r="K2410" i="18"/>
  <c r="O2410" i="18" s="1"/>
  <c r="K2536" i="18"/>
  <c r="O2536" i="18" s="1"/>
  <c r="K2368" i="18"/>
  <c r="O2368" i="18" s="1"/>
  <c r="K2398" i="18"/>
  <c r="O2398" i="18" s="1"/>
  <c r="K2452" i="18"/>
  <c r="O2452" i="18" s="1"/>
  <c r="K2404" i="18"/>
  <c r="O2404" i="18" s="1"/>
  <c r="K2230" i="18"/>
  <c r="O2230" i="18" s="1"/>
  <c r="K2386" i="18"/>
  <c r="O2386" i="18" s="1"/>
  <c r="K2428" i="18"/>
  <c r="O2428" i="18" s="1"/>
  <c r="K2434" i="18"/>
  <c r="O2434" i="18" s="1"/>
  <c r="K2236" i="18"/>
  <c r="O2236" i="18" s="1"/>
  <c r="K2224" i="18"/>
  <c r="O2224" i="18" s="1"/>
  <c r="K2296" i="18"/>
  <c r="O2296" i="18" s="1"/>
  <c r="K2338" i="18"/>
  <c r="O2338" i="18" s="1"/>
  <c r="K2482" i="18"/>
  <c r="O2482" i="18" s="1"/>
  <c r="K2512" i="18"/>
  <c r="O2512" i="18" s="1"/>
  <c r="K2506" i="18"/>
  <c r="O2506" i="18" s="1"/>
  <c r="K48" i="12" l="1"/>
  <c r="K51" i="12" s="1"/>
  <c r="K53" i="12" s="1"/>
  <c r="Q48" i="12"/>
  <c r="K49" i="12"/>
  <c r="P48" i="12"/>
  <c r="G17" i="7"/>
  <c r="O2662" i="18"/>
  <c r="Q49" i="12"/>
  <c r="Q51" i="12" s="1"/>
  <c r="Q53" i="12" s="1"/>
  <c r="P49" i="12"/>
  <c r="P51" i="12" s="1"/>
  <c r="P53" i="12" s="1"/>
  <c r="I48" i="12"/>
  <c r="I51" i="12" s="1"/>
  <c r="I53" i="12" s="1"/>
  <c r="F43" i="12"/>
  <c r="G43" i="12"/>
  <c r="G44" i="12"/>
  <c r="R44" i="12" s="1"/>
  <c r="H38" i="12"/>
  <c r="H37" i="12"/>
  <c r="F33" i="12"/>
  <c r="R33" i="12" s="1"/>
  <c r="F34" i="12"/>
  <c r="S34" i="12" s="1"/>
  <c r="G33" i="12"/>
  <c r="G34" i="12"/>
  <c r="G32" i="12"/>
  <c r="H31" i="12"/>
  <c r="H32" i="12"/>
  <c r="H30" i="12"/>
  <c r="H49" i="12" s="1"/>
  <c r="H29" i="12"/>
  <c r="F28" i="12"/>
  <c r="F27" i="12"/>
  <c r="T21" i="12"/>
  <c r="W9" i="12"/>
  <c r="N37" i="12"/>
  <c r="N38" i="12"/>
  <c r="G37" i="12"/>
  <c r="G38" i="12"/>
  <c r="R38" i="12" s="1"/>
  <c r="O27" i="12"/>
  <c r="O28" i="12"/>
  <c r="L35" i="12"/>
  <c r="L36" i="12"/>
  <c r="M31" i="12"/>
  <c r="M32" i="12"/>
  <c r="N27" i="12"/>
  <c r="N28" i="12"/>
  <c r="O43" i="12"/>
  <c r="O44" i="12"/>
  <c r="L37" i="12"/>
  <c r="L38" i="12"/>
  <c r="O30" i="12"/>
  <c r="O29" i="12"/>
  <c r="G27" i="12"/>
  <c r="G28" i="12"/>
  <c r="M27" i="12"/>
  <c r="M28" i="12"/>
  <c r="O37" i="12"/>
  <c r="O38" i="12"/>
  <c r="W10" i="12"/>
  <c r="G29" i="12"/>
  <c r="G30" i="12"/>
  <c r="M35" i="12"/>
  <c r="M36" i="12"/>
  <c r="L40" i="12"/>
  <c r="W16" i="12"/>
  <c r="L39" i="12"/>
  <c r="W12" i="12"/>
  <c r="L27" i="12"/>
  <c r="L28" i="12"/>
  <c r="M45" i="12"/>
  <c r="S45" i="12" s="1"/>
  <c r="M46" i="12"/>
  <c r="R46" i="12" s="1"/>
  <c r="O32" i="12"/>
  <c r="O31" i="12"/>
  <c r="O35" i="12"/>
  <c r="O36" i="12"/>
  <c r="O42" i="12"/>
  <c r="O41" i="12"/>
  <c r="O40" i="12"/>
  <c r="O39" i="12"/>
  <c r="O25" i="12"/>
  <c r="O26" i="12"/>
  <c r="W18" i="12"/>
  <c r="N42" i="12"/>
  <c r="N41" i="12"/>
  <c r="M25" i="12"/>
  <c r="M26" i="12"/>
  <c r="J48" i="12"/>
  <c r="J51" i="12" s="1"/>
  <c r="J53" i="12" s="1"/>
  <c r="N30" i="12"/>
  <c r="N29" i="12"/>
  <c r="W14" i="12"/>
  <c r="W15" i="12"/>
  <c r="O2660" i="18"/>
  <c r="O2659" i="18"/>
  <c r="K37" i="14"/>
  <c r="K38" i="14"/>
  <c r="I31" i="14"/>
  <c r="I32" i="14"/>
  <c r="K33" i="14"/>
  <c r="K34" i="14"/>
  <c r="H39" i="14"/>
  <c r="H40" i="14"/>
  <c r="H46" i="14"/>
  <c r="H45" i="14"/>
  <c r="N49" i="14"/>
  <c r="M51" i="14"/>
  <c r="M53" i="14" s="1"/>
  <c r="H29" i="14"/>
  <c r="H30" i="14"/>
  <c r="K35" i="14"/>
  <c r="K36" i="14"/>
  <c r="Q31" i="14"/>
  <c r="Q32" i="14"/>
  <c r="I28" i="14"/>
  <c r="I49" i="14" s="1"/>
  <c r="I27" i="14"/>
  <c r="I29" i="14"/>
  <c r="I30" i="14"/>
  <c r="K44" i="14"/>
  <c r="K43" i="14"/>
  <c r="H35" i="14"/>
  <c r="H36" i="14"/>
  <c r="I43" i="14"/>
  <c r="I44" i="14"/>
  <c r="N48" i="14"/>
  <c r="G39" i="14"/>
  <c r="K26" i="14"/>
  <c r="K49" i="14" s="1"/>
  <c r="K51" i="14" s="1"/>
  <c r="K53" i="14" s="1"/>
  <c r="K25" i="14"/>
  <c r="I39" i="14"/>
  <c r="I40" i="14"/>
  <c r="O45" i="14"/>
  <c r="O46" i="14"/>
  <c r="I48" i="14"/>
  <c r="I45" i="14"/>
  <c r="I46" i="14"/>
  <c r="Q39" i="14"/>
  <c r="H43" i="14"/>
  <c r="H44" i="14"/>
  <c r="O25" i="14"/>
  <c r="O48" i="14" s="1"/>
  <c r="O51" i="14" s="1"/>
  <c r="O53" i="14" s="1"/>
  <c r="O26" i="14"/>
  <c r="O49" i="14" s="1"/>
  <c r="K30" i="14"/>
  <c r="K29" i="14"/>
  <c r="K48" i="14" s="1"/>
  <c r="O41" i="14"/>
  <c r="O42" i="14"/>
  <c r="H27" i="14"/>
  <c r="H28" i="14"/>
  <c r="Q44" i="14"/>
  <c r="Q43" i="14"/>
  <c r="Q42" i="14"/>
  <c r="Q49" i="14" s="1"/>
  <c r="K46" i="14"/>
  <c r="K45" i="14"/>
  <c r="O33" i="14"/>
  <c r="O34" i="14"/>
  <c r="J36" i="14"/>
  <c r="J49" i="14" s="1"/>
  <c r="J35" i="14"/>
  <c r="J48" i="14" s="1"/>
  <c r="O32" i="14"/>
  <c r="O31" i="14"/>
  <c r="K42" i="14"/>
  <c r="K41" i="14"/>
  <c r="Q34" i="14"/>
  <c r="Q33" i="14"/>
  <c r="N51" i="14"/>
  <c r="N53" i="14" s="1"/>
  <c r="G32" i="14"/>
  <c r="G31" i="14"/>
  <c r="L25" i="14"/>
  <c r="L26" i="14"/>
  <c r="P26" i="14"/>
  <c r="P25" i="14"/>
  <c r="L45" i="14"/>
  <c r="L46" i="14"/>
  <c r="F45" i="14"/>
  <c r="F46" i="14"/>
  <c r="W19" i="14"/>
  <c r="F40" i="14"/>
  <c r="W16" i="14"/>
  <c r="F39" i="14"/>
  <c r="P38" i="14"/>
  <c r="P37" i="14"/>
  <c r="F27" i="14"/>
  <c r="F28" i="14"/>
  <c r="W10" i="14"/>
  <c r="F43" i="14"/>
  <c r="F44" i="14"/>
  <c r="W18" i="14"/>
  <c r="G29" i="14"/>
  <c r="S29" i="14" s="1"/>
  <c r="G30" i="14"/>
  <c r="S30" i="14" s="1"/>
  <c r="G41" i="14"/>
  <c r="G42" i="14"/>
  <c r="G26" i="14"/>
  <c r="G25" i="14"/>
  <c r="L40" i="14"/>
  <c r="L39" i="14"/>
  <c r="W17" i="14"/>
  <c r="F41" i="14"/>
  <c r="F42" i="14"/>
  <c r="L42" i="14"/>
  <c r="L41" i="14"/>
  <c r="G33" i="14"/>
  <c r="G34" i="14"/>
  <c r="G38" i="14"/>
  <c r="G37" i="14"/>
  <c r="L29" i="14"/>
  <c r="L30" i="14"/>
  <c r="R29" i="14"/>
  <c r="P32" i="14"/>
  <c r="P31" i="14"/>
  <c r="L32" i="14"/>
  <c r="L31" i="14"/>
  <c r="F34" i="14"/>
  <c r="W13" i="14"/>
  <c r="F33" i="14"/>
  <c r="L27" i="14"/>
  <c r="L28" i="14"/>
  <c r="P41" i="14"/>
  <c r="P42" i="14"/>
  <c r="W11" i="14"/>
  <c r="P29" i="14"/>
  <c r="P30" i="14"/>
  <c r="F25" i="14"/>
  <c r="W9" i="14"/>
  <c r="F26" i="14"/>
  <c r="H34" i="14"/>
  <c r="H33" i="14"/>
  <c r="F35" i="14"/>
  <c r="W14" i="14"/>
  <c r="F36" i="14"/>
  <c r="G43" i="14"/>
  <c r="G44" i="14"/>
  <c r="G28" i="14"/>
  <c r="G27" i="14"/>
  <c r="P45" i="14"/>
  <c r="P46" i="14"/>
  <c r="L37" i="14"/>
  <c r="L38" i="14"/>
  <c r="P28" i="14"/>
  <c r="P27" i="14"/>
  <c r="P34" i="14"/>
  <c r="P33" i="14"/>
  <c r="W15" i="14"/>
  <c r="F37" i="14"/>
  <c r="F38" i="14"/>
  <c r="L44" i="14"/>
  <c r="L43" i="14"/>
  <c r="F32" i="14"/>
  <c r="F31" i="14"/>
  <c r="W12" i="14"/>
  <c r="G35" i="14"/>
  <c r="G36" i="14"/>
  <c r="O321" i="18"/>
  <c r="O315" i="18"/>
  <c r="O309" i="18"/>
  <c r="O615" i="18"/>
  <c r="O333" i="18"/>
  <c r="O345" i="18"/>
  <c r="O33" i="18"/>
  <c r="O327" i="18"/>
  <c r="O141" i="18"/>
  <c r="O144" i="18"/>
  <c r="O339" i="18"/>
  <c r="O163" i="18"/>
  <c r="O621" i="18"/>
  <c r="J2666" i="18"/>
  <c r="R2610" i="18"/>
  <c r="S2610" i="18" s="1"/>
  <c r="Q2661" i="18"/>
  <c r="R1733" i="18"/>
  <c r="S1733" i="18" s="1"/>
  <c r="Q2660" i="18"/>
  <c r="R1638" i="18"/>
  <c r="S1638" i="18" s="1"/>
  <c r="Q2659" i="18"/>
  <c r="R788" i="18"/>
  <c r="S788" i="18" s="1"/>
  <c r="K2554" i="18"/>
  <c r="O2554" i="18" s="1"/>
  <c r="O2661" i="18" s="1"/>
  <c r="K2566" i="18"/>
  <c r="O2566" i="18" s="1"/>
  <c r="Q2658" i="18"/>
  <c r="K399" i="18"/>
  <c r="K405" i="18"/>
  <c r="K411" i="18"/>
  <c r="K393" i="18"/>
  <c r="K417" i="18"/>
  <c r="K423" i="18"/>
  <c r="K429" i="18"/>
  <c r="Q2656" i="18"/>
  <c r="Q2663" i="18" s="1"/>
  <c r="K2518" i="18"/>
  <c r="O2518" i="18" s="1"/>
  <c r="Q2666" i="18"/>
  <c r="R116" i="18"/>
  <c r="S116" i="18" s="1"/>
  <c r="Q2657" i="18"/>
  <c r="K285" i="18"/>
  <c r="K235" i="18"/>
  <c r="K633" i="18"/>
  <c r="K627" i="18"/>
  <c r="K381" i="18"/>
  <c r="K357" i="18"/>
  <c r="K351" i="18"/>
  <c r="K387" i="18"/>
  <c r="K588" i="18"/>
  <c r="K603" i="18"/>
  <c r="K584" i="18"/>
  <c r="K645" i="18"/>
  <c r="K231" i="18"/>
  <c r="K609" i="18"/>
  <c r="K268" i="18"/>
  <c r="K447" i="18"/>
  <c r="K258" i="18"/>
  <c r="K276" i="18"/>
  <c r="K582" i="18"/>
  <c r="K288" i="18"/>
  <c r="K294" i="18"/>
  <c r="K586" i="18"/>
  <c r="K369" i="18"/>
  <c r="K279" i="18"/>
  <c r="K263" i="18"/>
  <c r="O303" i="18"/>
  <c r="K435" i="18"/>
  <c r="K297" i="18"/>
  <c r="K597" i="18"/>
  <c r="K657" i="18"/>
  <c r="K282" i="18"/>
  <c r="K291" i="18"/>
  <c r="K273" i="18"/>
  <c r="K375" i="18"/>
  <c r="K651" i="18"/>
  <c r="K591" i="18"/>
  <c r="K663" i="18"/>
  <c r="K300" i="18"/>
  <c r="K363" i="18"/>
  <c r="K639" i="18"/>
  <c r="K233" i="18"/>
  <c r="S44" i="12" l="1"/>
  <c r="S43" i="12"/>
  <c r="S40" i="12"/>
  <c r="F49" i="12"/>
  <c r="H48" i="12"/>
  <c r="R34" i="12"/>
  <c r="R35" i="12"/>
  <c r="S31" i="12"/>
  <c r="S42" i="12"/>
  <c r="S33" i="12"/>
  <c r="R31" i="12"/>
  <c r="F48" i="12"/>
  <c r="F51" i="12" s="1"/>
  <c r="R32" i="12"/>
  <c r="S25" i="12"/>
  <c r="R26" i="12"/>
  <c r="S26" i="12"/>
  <c r="S36" i="12"/>
  <c r="S38" i="12"/>
  <c r="S37" i="12"/>
  <c r="R36" i="12"/>
  <c r="R25" i="12"/>
  <c r="S41" i="12"/>
  <c r="R30" i="12"/>
  <c r="S30" i="12"/>
  <c r="S27" i="12"/>
  <c r="R27" i="12"/>
  <c r="G48" i="12"/>
  <c r="S29" i="12"/>
  <c r="R29" i="12"/>
  <c r="R45" i="12"/>
  <c r="O49" i="12"/>
  <c r="N49" i="12"/>
  <c r="L49" i="12"/>
  <c r="R41" i="12"/>
  <c r="N48" i="12"/>
  <c r="R40" i="12"/>
  <c r="L48" i="12"/>
  <c r="S46" i="12"/>
  <c r="S32" i="12"/>
  <c r="R37" i="12"/>
  <c r="S39" i="12"/>
  <c r="R39" i="12"/>
  <c r="H51" i="12"/>
  <c r="R42" i="12"/>
  <c r="S35" i="12"/>
  <c r="S48" i="12" s="1"/>
  <c r="O48" i="12"/>
  <c r="R43" i="12"/>
  <c r="M49" i="12"/>
  <c r="M48" i="12"/>
  <c r="G49" i="12"/>
  <c r="S28" i="12"/>
  <c r="R28" i="12"/>
  <c r="J51" i="14"/>
  <c r="J53" i="14" s="1"/>
  <c r="R30" i="14"/>
  <c r="H48" i="14"/>
  <c r="I51" i="14"/>
  <c r="I53" i="14" s="1"/>
  <c r="H49" i="14"/>
  <c r="P49" i="14"/>
  <c r="G49" i="14"/>
  <c r="L48" i="14"/>
  <c r="L51" i="14" s="1"/>
  <c r="L53" i="14" s="1"/>
  <c r="Q48" i="14"/>
  <c r="Q51" i="14" s="1"/>
  <c r="Q53" i="14" s="1"/>
  <c r="S35" i="14"/>
  <c r="R35" i="14"/>
  <c r="R31" i="14"/>
  <c r="S31" i="14"/>
  <c r="H51" i="14"/>
  <c r="H53" i="14" s="1"/>
  <c r="S39" i="14"/>
  <c r="R39" i="14"/>
  <c r="P48" i="14"/>
  <c r="P51" i="14" s="1"/>
  <c r="P53" i="14" s="1"/>
  <c r="S32" i="14"/>
  <c r="R32" i="14"/>
  <c r="R44" i="14"/>
  <c r="S44" i="14"/>
  <c r="S26" i="14"/>
  <c r="R26" i="14"/>
  <c r="F49" i="14"/>
  <c r="G48" i="14"/>
  <c r="G51" i="14" s="1"/>
  <c r="G53" i="14" s="1"/>
  <c r="S43" i="14"/>
  <c r="R43" i="14"/>
  <c r="S40" i="14"/>
  <c r="R40" i="14"/>
  <c r="L49" i="14"/>
  <c r="R38" i="14"/>
  <c r="S38" i="14"/>
  <c r="F48" i="14"/>
  <c r="R25" i="14"/>
  <c r="S25" i="14"/>
  <c r="S33" i="14"/>
  <c r="R33" i="14"/>
  <c r="S28" i="14"/>
  <c r="R28" i="14"/>
  <c r="R46" i="14"/>
  <c r="S46" i="14"/>
  <c r="S37" i="14"/>
  <c r="R37" i="14"/>
  <c r="R36" i="14"/>
  <c r="S36" i="14"/>
  <c r="S42" i="14"/>
  <c r="R42" i="14"/>
  <c r="R27" i="14"/>
  <c r="S27" i="14"/>
  <c r="R45" i="14"/>
  <c r="S45" i="14"/>
  <c r="R34" i="14"/>
  <c r="S34" i="14"/>
  <c r="S41" i="14"/>
  <c r="R41" i="14"/>
  <c r="O233" i="18"/>
  <c r="O273" i="18"/>
  <c r="O263" i="18"/>
  <c r="O258" i="18"/>
  <c r="O588" i="18"/>
  <c r="O285" i="18"/>
  <c r="O417" i="18"/>
  <c r="O639" i="18"/>
  <c r="O291" i="18"/>
  <c r="O279" i="18"/>
  <c r="O447" i="18"/>
  <c r="O387" i="18"/>
  <c r="O393" i="18"/>
  <c r="O363" i="18"/>
  <c r="O282" i="18"/>
  <c r="O369" i="18"/>
  <c r="O268" i="18"/>
  <c r="O351" i="18"/>
  <c r="O411" i="18"/>
  <c r="O405" i="18"/>
  <c r="O657" i="18"/>
  <c r="O231" i="18"/>
  <c r="O399" i="18"/>
  <c r="O300" i="18"/>
  <c r="O297" i="18"/>
  <c r="O357" i="18"/>
  <c r="O288" i="18"/>
  <c r="O651" i="18"/>
  <c r="O582" i="18"/>
  <c r="O429" i="18"/>
  <c r="O423" i="18"/>
  <c r="O609" i="18"/>
  <c r="O597" i="18"/>
  <c r="O381" i="18"/>
  <c r="O584" i="18"/>
  <c r="O603" i="18"/>
  <c r="O586" i="18"/>
  <c r="O663" i="18"/>
  <c r="O294" i="18"/>
  <c r="O591" i="18"/>
  <c r="O645" i="18"/>
  <c r="O627" i="18"/>
  <c r="O435" i="18"/>
  <c r="O633" i="18"/>
  <c r="O375" i="18"/>
  <c r="O276" i="18"/>
  <c r="O235" i="18"/>
  <c r="K229" i="18"/>
  <c r="O51" i="12" l="1"/>
  <c r="O53" i="12" s="1"/>
  <c r="M51" i="12"/>
  <c r="M53" i="12" s="1"/>
  <c r="L51" i="12"/>
  <c r="L53" i="12" s="1"/>
  <c r="S49" i="12"/>
  <c r="S52" i="12" s="1"/>
  <c r="N51" i="12"/>
  <c r="N53" i="12" s="1"/>
  <c r="G51" i="12"/>
  <c r="O2658" i="18"/>
  <c r="S49" i="14"/>
  <c r="S48" i="14"/>
  <c r="S52" i="14" s="1"/>
  <c r="F51" i="14"/>
  <c r="S51" i="14" s="1"/>
  <c r="K2666" i="18"/>
  <c r="O229" i="18"/>
  <c r="O2666" i="18" s="1"/>
  <c r="S51" i="12" l="1"/>
  <c r="T40" i="14"/>
  <c r="O52" i="14"/>
  <c r="T35" i="14"/>
  <c r="T46" i="14"/>
  <c r="T39" i="14"/>
  <c r="T33" i="14"/>
  <c r="T25" i="14"/>
  <c r="T37" i="14"/>
  <c r="T32" i="14"/>
  <c r="G52" i="14"/>
  <c r="T27" i="14"/>
  <c r="T38" i="14"/>
  <c r="T31" i="14"/>
  <c r="T44" i="14"/>
  <c r="X5" i="14"/>
  <c r="I52" i="14"/>
  <c r="S53" i="14"/>
  <c r="T42" i="14"/>
  <c r="M52" i="14"/>
  <c r="T30" i="14"/>
  <c r="P52" i="14"/>
  <c r="T34" i="14"/>
  <c r="J52" i="14"/>
  <c r="T43" i="14"/>
  <c r="H52" i="14"/>
  <c r="T26" i="14"/>
  <c r="T36" i="14"/>
  <c r="T45" i="14"/>
  <c r="Q52" i="14"/>
  <c r="L52" i="14"/>
  <c r="T41" i="14"/>
  <c r="N52" i="14"/>
  <c r="T28" i="14"/>
  <c r="T29" i="14"/>
  <c r="F52" i="14"/>
  <c r="K52" i="14"/>
  <c r="O2656" i="18"/>
  <c r="O2657" i="18"/>
  <c r="T41" i="12" l="1"/>
  <c r="T28" i="12"/>
  <c r="T33" i="12"/>
  <c r="K52" i="12"/>
  <c r="O52" i="12"/>
  <c r="L52" i="12"/>
  <c r="G52" i="12"/>
  <c r="T45" i="12"/>
  <c r="T29" i="12"/>
  <c r="T32" i="12"/>
  <c r="T44" i="12"/>
  <c r="T42" i="12"/>
  <c r="T37" i="12"/>
  <c r="T34" i="12"/>
  <c r="T27" i="12"/>
  <c r="P52" i="12"/>
  <c r="T36" i="12"/>
  <c r="T26" i="12"/>
  <c r="T46" i="12"/>
  <c r="N52" i="12"/>
  <c r="X5" i="12"/>
  <c r="Q52" i="12"/>
  <c r="J52" i="12"/>
  <c r="T31" i="12"/>
  <c r="F52" i="12"/>
  <c r="T25" i="12"/>
  <c r="I52" i="12"/>
  <c r="T43" i="12"/>
  <c r="T30" i="12"/>
  <c r="T38" i="12"/>
  <c r="T40" i="12"/>
  <c r="T35" i="12"/>
  <c r="T39" i="12"/>
  <c r="S53" i="12"/>
  <c r="M52" i="12"/>
  <c r="H52" i="12"/>
  <c r="T48" i="14"/>
  <c r="F53" i="14"/>
  <c r="T52" i="14"/>
  <c r="T49" i="14"/>
  <c r="T48" i="12" l="1"/>
  <c r="T49" i="12"/>
  <c r="T52" i="12"/>
  <c r="F53" i="12"/>
  <c r="G53" i="12" s="1"/>
  <c r="H53" i="12" s="1"/>
  <c r="T51" i="14"/>
  <c r="T53" i="14" s="1"/>
  <c r="T51" i="12" l="1"/>
  <c r="T53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Ruy  José da Costa</author>
    <author>PARANACIDADE: Ruy  Jose da Costa</author>
  </authors>
  <commentList>
    <comment ref="D1" authorId="0" shapeId="0" xr:uid="{252DB76E-C47A-48D6-A690-A445BC1EC610}">
      <text>
        <r>
          <rPr>
            <b/>
            <sz val="8"/>
            <color indexed="81"/>
            <rFont val="Segoe UI"/>
            <family val="2"/>
          </rPr>
          <t>Ruy  José da Costa:</t>
        </r>
        <r>
          <rPr>
            <sz val="8"/>
            <color indexed="81"/>
            <rFont val="Segoe UI"/>
            <family val="2"/>
          </rPr>
          <t xml:space="preserve">
FILTRO PARA EDITAL
    "</t>
        </r>
        <r>
          <rPr>
            <b/>
            <sz val="8"/>
            <color indexed="81"/>
            <rFont val="Segoe UI"/>
            <family val="2"/>
          </rPr>
          <t>CARTILHA</t>
        </r>
        <r>
          <rPr>
            <sz val="8"/>
            <color indexed="81"/>
            <rFont val="Segoe UI"/>
            <family val="2"/>
          </rPr>
          <t>"</t>
        </r>
      </text>
    </comment>
    <comment ref="L1" authorId="0" shapeId="0" xr:uid="{9B58FA92-52C0-4F7B-BD71-397D6A8F7AB1}">
      <text>
        <r>
          <rPr>
            <b/>
            <sz val="8"/>
            <color indexed="81"/>
            <rFont val="Segoe UI"/>
            <family val="2"/>
          </rPr>
          <t>Ruy  José da Costa:</t>
        </r>
        <r>
          <rPr>
            <sz val="8"/>
            <color indexed="81"/>
            <rFont val="Segoe UI"/>
            <family val="2"/>
          </rPr>
          <t xml:space="preserve">
FILTRO PARA EDITAL
    "</t>
        </r>
        <r>
          <rPr>
            <b/>
            <sz val="8"/>
            <color indexed="81"/>
            <rFont val="Segoe UI"/>
            <family val="2"/>
          </rPr>
          <t>CARTILHA</t>
        </r>
        <r>
          <rPr>
            <sz val="8"/>
            <color indexed="81"/>
            <rFont val="Segoe UI"/>
            <family val="2"/>
          </rPr>
          <t>"</t>
        </r>
      </text>
    </comment>
    <comment ref="D3" authorId="0" shapeId="0" xr:uid="{5F849B7F-5A04-4EF3-8456-4DB8A4C31A08}">
      <text>
        <r>
          <rPr>
            <b/>
            <sz val="8"/>
            <color indexed="81"/>
            <rFont val="Segoe UI"/>
            <family val="2"/>
          </rPr>
          <t>Ruy  José da Costa:</t>
        </r>
        <r>
          <rPr>
            <sz val="8"/>
            <color indexed="81"/>
            <rFont val="Segoe UI"/>
            <family val="2"/>
          </rPr>
          <t xml:space="preserve">
FILTRO PARA EDITAL
    "</t>
        </r>
        <r>
          <rPr>
            <b/>
            <sz val="8"/>
            <color indexed="81"/>
            <rFont val="Segoe UI"/>
            <family val="2"/>
          </rPr>
          <t>ANEXO</t>
        </r>
        <r>
          <rPr>
            <sz val="8"/>
            <color indexed="81"/>
            <rFont val="Segoe UI"/>
            <family val="2"/>
          </rPr>
          <t>"</t>
        </r>
      </text>
    </comment>
    <comment ref="L3" authorId="0" shapeId="0" xr:uid="{BFD5D8D3-B34A-4448-81EB-EF0F5E36F209}">
      <text>
        <r>
          <rPr>
            <b/>
            <sz val="8"/>
            <color indexed="81"/>
            <rFont val="Segoe UI"/>
            <family val="2"/>
          </rPr>
          <t>Ruy  José da Costa:</t>
        </r>
        <r>
          <rPr>
            <sz val="8"/>
            <color indexed="81"/>
            <rFont val="Segoe UI"/>
            <family val="2"/>
          </rPr>
          <t xml:space="preserve">
FILTRO PARA EDITAL
    "</t>
        </r>
        <r>
          <rPr>
            <b/>
            <sz val="8"/>
            <color indexed="81"/>
            <rFont val="Segoe UI"/>
            <family val="2"/>
          </rPr>
          <t>ANEXO</t>
        </r>
        <r>
          <rPr>
            <sz val="8"/>
            <color indexed="81"/>
            <rFont val="Segoe UI"/>
            <family val="2"/>
          </rPr>
          <t>"</t>
        </r>
      </text>
    </comment>
    <comment ref="I25" authorId="0" shapeId="0" xr:uid="{04F32BAF-2D95-4626-80D1-A91006C74ED2}">
      <text>
        <r>
          <rPr>
            <b/>
            <sz val="8"/>
            <color indexed="81"/>
            <rFont val="Segoe UI"/>
            <family val="2"/>
          </rPr>
          <t>=MF3 pré x 0,50294</t>
        </r>
      </text>
    </comment>
    <comment ref="I26" authorId="0" shapeId="0" xr:uid="{495394E3-07E2-4579-8355-87857E67BA93}">
      <text>
        <r>
          <rPr>
            <b/>
            <sz val="8"/>
            <color indexed="81"/>
            <rFont val="Segoe UI"/>
            <family val="2"/>
          </rPr>
          <t>=MF3 pré x 0,33088</t>
        </r>
      </text>
    </comment>
    <comment ref="I27" authorId="0" shapeId="0" xr:uid="{B02DDA2F-6259-4AFF-8C4A-D05F84D2B709}">
      <text>
        <r>
          <rPr>
            <b/>
            <sz val="8"/>
            <color indexed="81"/>
            <rFont val="Segoe UI"/>
            <family val="2"/>
          </rPr>
          <t>=MF3 pré x 0,411765</t>
        </r>
      </text>
    </comment>
    <comment ref="I532" authorId="0" shapeId="0" xr:uid="{5688BC73-C22D-42CF-BD18-BE31976A83DB}">
      <text>
        <r>
          <rPr>
            <b/>
            <sz val="8"/>
            <color indexed="81"/>
            <rFont val="Segoe UI"/>
            <family val="2"/>
          </rPr>
          <t>=MF3 pré x 0,50294</t>
        </r>
      </text>
    </comment>
    <comment ref="I533" authorId="0" shapeId="0" xr:uid="{7EFB58E6-8A94-48B9-AB56-888B2F949528}">
      <text>
        <r>
          <rPr>
            <b/>
            <sz val="8"/>
            <color indexed="81"/>
            <rFont val="Segoe UI"/>
            <family val="2"/>
          </rPr>
          <t>=MF3 pré x 0,33088</t>
        </r>
      </text>
    </comment>
    <comment ref="I534" authorId="0" shapeId="0" xr:uid="{852D6952-3CC3-4C6C-84DE-38E744920816}">
      <text>
        <r>
          <rPr>
            <b/>
            <sz val="8"/>
            <color indexed="81"/>
            <rFont val="Segoe UI"/>
            <family val="2"/>
          </rPr>
          <t>=MF3 pré x 0,411765</t>
        </r>
      </text>
    </comment>
    <comment ref="I553" authorId="0" shapeId="0" xr:uid="{5B92660C-FF68-4181-9179-AFDC539FC46B}">
      <text>
        <r>
          <rPr>
            <b/>
            <sz val="12"/>
            <color indexed="81"/>
            <rFont val="Segoe UI"/>
            <family val="2"/>
          </rPr>
          <t>Cocncreto Símples x 0,05
Transporte x 0,05
Forma (0,05*2m/m2)
 (2 aproveitamentos)  =  =2*0,05*I445 /2
Regularização = I 436</t>
        </r>
        <r>
          <rPr>
            <b/>
            <sz val="8"/>
            <color indexed="81"/>
            <rFont val="Segoe UI"/>
            <family val="2"/>
          </rPr>
          <t xml:space="preserve">
</t>
        </r>
      </text>
    </comment>
    <comment ref="I557" authorId="0" shapeId="0" xr:uid="{25458B05-96A1-4F1D-8A7D-E947DA20BA3F}">
      <text>
        <r>
          <rPr>
            <b/>
            <sz val="12"/>
            <color indexed="81"/>
            <rFont val="Segoe UI"/>
            <family val="2"/>
          </rPr>
          <t xml:space="preserve">Cocncreto Símples x 0,06
Transporte x 0,06
Forma (0,06*2m/m2)
 (2 aproveitamentos)  =  =2*0,06*I445 /2
Regularização = I 436
</t>
        </r>
      </text>
    </comment>
    <comment ref="I561" authorId="0" shapeId="0" xr:uid="{D58A5A86-05CF-4336-A48E-D7ECA1942E9C}">
      <text>
        <r>
          <rPr>
            <b/>
            <sz val="12"/>
            <color indexed="81"/>
            <rFont val="Segoe UI"/>
            <family val="2"/>
          </rPr>
          <t>Cocncreto Símples x 0,07
Transporte x 0,07
Forma (0,07*2m/m2)
 (2 aproveitamentos)  =  =2*0,07*I445 /2
Regularização = I 436</t>
        </r>
        <r>
          <rPr>
            <sz val="8"/>
            <color indexed="81"/>
            <rFont val="Segoe UI"/>
            <family val="2"/>
          </rPr>
          <t xml:space="preserve">
</t>
        </r>
      </text>
    </comment>
    <comment ref="I565" authorId="0" shapeId="0" xr:uid="{6417DFC7-7893-48EE-8B97-1BDF35716795}">
      <text>
        <r>
          <rPr>
            <b/>
            <sz val="12"/>
            <color indexed="81"/>
            <rFont val="Segoe UI"/>
            <family val="2"/>
          </rPr>
          <t>Cocncreto Símples x 0,08
Transporte x 0,08
Forma (0,08*2m/m2)
 (2 aproveitamentos)  =  =2*0,08*I445 /2
Regularização = I 436</t>
        </r>
        <r>
          <rPr>
            <sz val="8"/>
            <color indexed="81"/>
            <rFont val="Segoe UI"/>
            <family val="2"/>
          </rPr>
          <t xml:space="preserve">
</t>
        </r>
      </text>
    </comment>
    <comment ref="I746" authorId="1" shapeId="0" xr:uid="{8287532F-B7C1-4D77-A35C-39D430811A00}">
      <text>
        <r>
          <rPr>
            <b/>
            <sz val="12"/>
            <color indexed="81"/>
            <rFont val="Tahoma"/>
            <family val="2"/>
          </rPr>
          <t>CUSTO DA PLACA (R$/M2) * CONSUMO (0,1964)  + CUSTO DE UM
SUPORTE DE MADEIRA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47" authorId="1" shapeId="0" xr:uid="{D9D79793-C0D8-437A-8390-2F78CF1F6AD2}">
      <text>
        <r>
          <rPr>
            <b/>
            <sz val="12"/>
            <color indexed="81"/>
            <rFont val="Tahoma"/>
            <family val="2"/>
          </rPr>
          <t>CUSTO DA PLACA (R$/M2) * CONSUMO (0,1219)  + CUSTO DE UM
SUPORTE DE MADEIRA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48" authorId="1" shapeId="0" xr:uid="{101F8D59-3DC5-4773-ACF6-879EC5C4FCF2}">
      <text>
        <r>
          <rPr>
            <b/>
            <sz val="12"/>
            <color indexed="81"/>
            <rFont val="Tahoma"/>
            <family val="2"/>
          </rPr>
          <t>CUSTO DA PLACA (R$/M2) * CONSUMO (0,2160)  + CUSTO DE UM
SUPORTE DE MADEIRA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49" authorId="1" shapeId="0" xr:uid="{EAB96ACA-1065-46F7-BE93-31511753377E}">
      <text>
        <r>
          <rPr>
            <b/>
            <sz val="12"/>
            <color indexed="81"/>
            <rFont val="Tahoma"/>
            <family val="2"/>
          </rPr>
          <t>CUSTO DA PLACA (R$/M2) * CONSUMO (0,2025)  + CUSTO DE UM
SUPORTE DE MADEIRA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50" authorId="1" shapeId="0" xr:uid="{562A6F69-A3B7-4E6F-8DB1-6DB9266BDBA2}">
      <text>
        <r>
          <rPr>
            <b/>
            <sz val="12"/>
            <color indexed="81"/>
            <rFont val="Tahoma"/>
            <family val="2"/>
          </rPr>
          <t>CUSTO DA PLACA (R$/M2) * CONSUMO (0,1964)  + CUSTO DE UM
SUPORTE METÁLICO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51" authorId="1" shapeId="0" xr:uid="{C1D9DD2D-8879-46B1-B9E0-C7EA3AC84252}">
      <text>
        <r>
          <rPr>
            <b/>
            <sz val="12"/>
            <color indexed="81"/>
            <rFont val="Tahoma"/>
            <family val="2"/>
          </rPr>
          <t>CUSTO DA PLACA (R$/M2) * CONSUMO (0,1219)  + CUSTO DE UM
SUPORTE METÁLICO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52" authorId="1" shapeId="0" xr:uid="{623507EB-2AD7-4BC5-93D1-13DAD803729E}">
      <text>
        <r>
          <rPr>
            <b/>
            <sz val="12"/>
            <color indexed="81"/>
            <rFont val="Tahoma"/>
            <family val="2"/>
          </rPr>
          <t>CUSTO DA PLACA (R$/M2) * CONSUMO (0,2160)  + CUSTO DE UM
SUPORTE METÁLICO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53" authorId="1" shapeId="0" xr:uid="{5ECC393A-B839-4590-8974-4A3A92FC3356}">
      <text>
        <r>
          <rPr>
            <b/>
            <sz val="12"/>
            <color indexed="81"/>
            <rFont val="Tahoma"/>
            <family val="2"/>
          </rPr>
          <t>CUSTO DA PLACA (R$/M2) * CONSUMO (0,2025)  + CUSTO DE UM
SUPORTE METÁLICO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54" authorId="1" shapeId="0" xr:uid="{7E8C1645-CAE7-483D-B310-3ED04C654F34}">
      <text>
        <r>
          <rPr>
            <b/>
            <sz val="12"/>
            <color indexed="81"/>
            <rFont val="Tahoma"/>
            <family val="2"/>
          </rPr>
          <t>CUSTO DA PLACA (R$/M2) * CONSUMO (0,2400)  + CUSTO DE UM
SUPORTE METÁLICO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89" authorId="0" shapeId="0" xr:uid="{1871C9FE-7F19-40C4-8A19-7237D29C42A4}">
      <text>
        <r>
          <rPr>
            <sz val="8"/>
            <color indexed="81"/>
            <rFont val="Segoe UI"/>
            <family val="2"/>
          </rPr>
          <t xml:space="preserve">COPEL:
Compreende a locação de estruturas e estais correspondentes, em ramais que permitam
visadas diretas, respeitando as limitações impostas em função dos vãos mecânicos,
elétricos e bitola do condutor, para a implantação da estrutura.
Estão incluídos a marcação dos pontos de derivação, ângulo aproximado, anotações dos
detalhes da faixa na caderneta, desenho definitivo, e inclusive, as locações previstas na
atividade 703. Inclui ainda todo e qualquer deslocamento de pessoal.
</t>
        </r>
      </text>
    </comment>
    <comment ref="D790" authorId="0" shapeId="0" xr:uid="{4B40BCAF-AE80-4111-AFC7-6B1307635C56}">
      <text>
        <r>
          <rPr>
            <b/>
            <sz val="8"/>
            <color indexed="81"/>
            <rFont val="Segoe UI"/>
            <family val="2"/>
          </rPr>
          <t>COPEL:
Consiste na determinação com uso de teodolito e balizas, do ponto exato no terreno, onde
será instalada a estrutura projetada, identificados através de piquetes e estacas conforme
modelo COPEL.
Toda locação que coincida com o piquete da topografia, não deve ser paga</t>
        </r>
      </text>
    </comment>
    <comment ref="D791" authorId="0" shapeId="0" xr:uid="{6FB2E0B3-551A-46DE-9D28-B0B0B22F50E8}">
      <text>
        <r>
          <rPr>
            <b/>
            <sz val="8"/>
            <color indexed="81"/>
            <rFont val="Segoe UI"/>
            <family val="2"/>
          </rPr>
          <t>COPEL:
Consiste na determinação com uso de balizas e excepcionalmente teodolito, do ponto
exato no terreno onde será instalada a estrutura projetada, (extensão, intercalação ou
deslocamento).
Esta atividade não deve ser considerada quando da substituição de poste que ocupe o
mesmo local do poste a ser substituído</t>
        </r>
        <r>
          <rPr>
            <sz val="8"/>
            <color indexed="81"/>
            <rFont val="Segoe UI"/>
            <family val="2"/>
          </rPr>
          <t xml:space="preserve">
</t>
        </r>
      </text>
    </comment>
    <comment ref="D792" authorId="0" shapeId="0" xr:uid="{0B487D6C-13BD-49C5-9CF2-7B055D606F8D}">
      <text>
        <r>
          <rPr>
            <b/>
            <sz val="8"/>
            <color indexed="81"/>
            <rFont val="Segoe UI"/>
            <family val="2"/>
          </rPr>
          <t>COPEL:
Consiste na escavação necessária, prumagem, alinhamento e apiloamento de estrutura
montada existente, sem desconectar as ligações, amarrações e/ou retirar equipamentos.</t>
        </r>
        <r>
          <rPr>
            <sz val="8"/>
            <color indexed="81"/>
            <rFont val="Segoe UI"/>
            <family val="2"/>
          </rPr>
          <t xml:space="preserve">
</t>
        </r>
      </text>
    </comment>
    <comment ref="D793" authorId="0" shapeId="0" xr:uid="{36F56EF9-1108-4889-895A-FB7F108FC1A8}">
      <text>
        <r>
          <rPr>
            <b/>
            <sz val="8"/>
            <color indexed="81"/>
            <rFont val="Segoe UI"/>
            <family val="2"/>
          </rPr>
          <t>COPEL:
Compreende o deslocamento de estrutura equipada existente em até 0,30 metros do seu
ponto original, para efetuar a relocação, alinhamento, virada ou a altura de engastamento
fora de padrão, incluindo a escavação complementar, prumagem e apiloamento do poste</t>
        </r>
        <r>
          <rPr>
            <sz val="8"/>
            <color indexed="81"/>
            <rFont val="Segoe UI"/>
            <family val="2"/>
          </rPr>
          <t xml:space="preserve">
</t>
        </r>
      </text>
    </comment>
    <comment ref="D794" authorId="0" shapeId="0" xr:uid="{1FCC0686-C9F5-497E-A518-80D8D5F8BFA0}">
      <text>
        <r>
          <rPr>
            <b/>
            <sz val="8"/>
            <color indexed="81"/>
            <rFont val="Segoe UI"/>
            <family val="2"/>
          </rPr>
          <t xml:space="preserve">COPEL:
Consiste no levantamento, prumagem e apiloamento de poste auxiliar para entrada de
serviço da unidade consumidora, incluindo a distribuição no local de aplicação. </t>
        </r>
        <r>
          <rPr>
            <sz val="8"/>
            <color indexed="81"/>
            <rFont val="Segoe UI"/>
            <family val="2"/>
          </rPr>
          <t xml:space="preserve">
</t>
        </r>
      </text>
    </comment>
    <comment ref="D796" authorId="0" shapeId="0" xr:uid="{7B1E6287-4980-452A-B9E6-4A7F44C51C6B}">
      <text>
        <r>
          <rPr>
            <b/>
            <sz val="8"/>
            <color indexed="81"/>
            <rFont val="Segoe UI"/>
            <family val="2"/>
          </rPr>
          <t xml:space="preserve">COPEL:
Consiste no levantamento, prumagem, alinhamento e apiloamento de postes até 12 metros de altura e resistência nominal até 1000 daN, incluindo a distribuição do local onde se acha
depositado até o ponto de aplicação. </t>
        </r>
      </text>
    </comment>
    <comment ref="D798" authorId="0" shapeId="0" xr:uid="{D3E60369-0AF9-4F8B-B272-26B518567F4E}">
      <text>
        <r>
          <rPr>
            <b/>
            <sz val="8"/>
            <color indexed="81"/>
            <rFont val="Segoe UI"/>
            <family val="2"/>
          </rPr>
          <t>COPEL:
Consiste no levantamento, prumagem, alinhamento e apiloamento de postes até 12 metros
de altura e resistência nominal acima 1000 daN, incluindo a distribuição do local onde se
acha depositado até ao ponto de aplicação. 
Nesta atividade já está considerado a utilização de veículo equipado com guindauto
especial.</t>
        </r>
        <r>
          <rPr>
            <sz val="8"/>
            <color indexed="81"/>
            <rFont val="Segoe UI"/>
            <family val="2"/>
          </rPr>
          <t xml:space="preserve">
</t>
        </r>
      </text>
    </comment>
    <comment ref="D800" authorId="0" shapeId="0" xr:uid="{A9E0FAE2-A6A2-46BD-B14D-8FC290B50889}">
      <text>
        <r>
          <rPr>
            <b/>
            <sz val="8"/>
            <color indexed="81"/>
            <rFont val="Segoe UI"/>
            <family val="2"/>
          </rPr>
          <t>COPEL:
Consiste no levantamento, prumagem, alinhamento e apiloamento de postes entre 13 a 15
metros de altura, incluindo a distribuição do local onde se acha depositado até ao ponto de
aplicação. 
Nesta atividade já está considerado a utilização de veículo equipado com guindauto
especial.</t>
        </r>
      </text>
    </comment>
    <comment ref="D802" authorId="0" shapeId="0" xr:uid="{9DFDDCCC-38C9-46CD-8457-A14ECE5D7773}">
      <text>
        <r>
          <rPr>
            <b/>
            <sz val="8"/>
            <color indexed="81"/>
            <rFont val="Segoe UI"/>
            <family val="2"/>
          </rPr>
          <t>COPEL:
Consiste no levantamento, prumagem, alinhamento e apiloamento de postes de 15 a 18
metros de 
Nesta atividade já está considerado a utilização de veículo equipado com guindauto
especial.</t>
        </r>
        <r>
          <rPr>
            <sz val="8"/>
            <color indexed="81"/>
            <rFont val="Segoe UI"/>
            <family val="2"/>
          </rPr>
          <t xml:space="preserve">
</t>
        </r>
      </text>
    </comment>
    <comment ref="D804" authorId="0" shapeId="0" xr:uid="{E9F5151F-605E-42D2-95AB-397561C6B505}">
      <text>
        <r>
          <rPr>
            <b/>
            <sz val="8"/>
            <color indexed="81"/>
            <rFont val="Segoe UI"/>
            <family val="2"/>
          </rPr>
          <t>COPEL:
Consiste no levantamento, prumagem, alinhamento e apiloamento de postes acima de 18
metros de altura, incluindo a distribuição do local onde se acha depositado até ao ponto de
aplicação. Nesta atividade já está considerado a utilização de veículo equipado com guindauto
especial</t>
        </r>
        <r>
          <rPr>
            <sz val="8"/>
            <color indexed="81"/>
            <rFont val="Segoe UI"/>
            <family val="2"/>
          </rPr>
          <t xml:space="preserve">
</t>
        </r>
      </text>
    </comment>
    <comment ref="D806" authorId="0" shapeId="0" xr:uid="{8AB84C35-F398-40FC-90A1-B06F8B2E2E74}">
      <text>
        <r>
          <rPr>
            <b/>
            <sz val="8"/>
            <color indexed="81"/>
            <rFont val="Segoe UI"/>
            <family val="2"/>
          </rPr>
          <t>COPEL:
Compreende os seguintes serviços:
- preparação do material (poste de madeira, concreto ou trilho)
- abertura da cava
- levantamento e apiloamento do elemento protetor (pedaço de poste)
- fornecimento da tinta
- pintura das faixas nas cores amarela e preta</t>
        </r>
      </text>
    </comment>
    <comment ref="D808" authorId="0" shapeId="0" xr:uid="{5D23B19C-E3B0-4BBD-9DAB-0716B7942BF9}">
      <text>
        <r>
          <rPr>
            <b/>
            <sz val="8"/>
            <color indexed="81"/>
            <rFont val="Segoe UI"/>
            <family val="2"/>
          </rPr>
          <t>COPEL:
Consiste na instalação de tubo de concreto simples, separado em duas partes, em torno
do poste, conforme procedimentos definidos na Recomendação Técnica nº 006 - Defensa
de Poste. Esta atividade inclui ainda o fornecimento de todos os materiais necessários, seu
transporte até o local de instalação e pintura da defensa.</t>
        </r>
        <r>
          <rPr>
            <sz val="8"/>
            <color indexed="81"/>
            <rFont val="Segoe UI"/>
            <family val="2"/>
          </rPr>
          <t xml:space="preserve">
</t>
        </r>
      </text>
    </comment>
    <comment ref="D810" authorId="0" shapeId="0" xr:uid="{504E950D-D820-4293-B338-5CC9C2F690F4}">
      <text>
        <r>
          <rPr>
            <b/>
            <sz val="8"/>
            <color indexed="81"/>
            <rFont val="Segoe UI"/>
            <family val="2"/>
          </rPr>
          <t>COPEL: ESTRUTURAS PRIMÁRIAS
Compreende a montagem, instalação e fixação da cadeia de isoladores de disco e olhal na
cruzeta ou no poste. Esta atividade também remunera, quando se tratar de acréscimo ou substituição de isolador(es) na cadeia existente.</t>
        </r>
      </text>
    </comment>
    <comment ref="D812" authorId="0" shapeId="0" xr:uid="{8F987D97-A438-4F84-85E2-FDE3783E81D7}">
      <text>
        <r>
          <rPr>
            <b/>
            <sz val="8"/>
            <color indexed="81"/>
            <rFont val="Segoe UI"/>
            <family val="2"/>
          </rPr>
          <t>COPEL: ESTRUTURAS PRIMÁRIAS
Consiste na instalação de cruzeta simples de madeira, concreto ou aço sem isoladores,
independente do comprimento.
Nesta atividade paga-se também o deslocamento na própria estrutura, de cruzeta simples
de qualquer tipo, independente do comprimento, para melhoria de redes, cotas de
afastamento, cruzamento aéreos ou virada do poste</t>
        </r>
        <r>
          <rPr>
            <sz val="8"/>
            <color indexed="81"/>
            <rFont val="Segoe UI"/>
            <family val="2"/>
          </rPr>
          <t xml:space="preserve">
</t>
        </r>
      </text>
    </comment>
    <comment ref="D814" authorId="0" shapeId="0" xr:uid="{3D5BAF10-36A6-4E1E-B54E-0802BCD76AC7}">
      <text>
        <r>
          <rPr>
            <b/>
            <sz val="8"/>
            <color indexed="81"/>
            <rFont val="Segoe UI"/>
            <family val="2"/>
          </rPr>
          <t>COPEL: ESTRUTURAS PRIMÁRIAS
Compreende a instalação de cruzeta dupla de madeira, concreto ou aço sem isoladores,
independente do comprimento.</t>
        </r>
      </text>
    </comment>
    <comment ref="D816" authorId="0" shapeId="0" xr:uid="{541AF0E6-8EC7-423E-B82D-81EBEFA73C29}">
      <text>
        <r>
          <rPr>
            <b/>
            <sz val="8"/>
            <color indexed="81"/>
            <rFont val="Segoe UI"/>
            <family val="2"/>
          </rPr>
          <t>COPEL: ESTRUTURAS PRIMÁRIAS
Compreende a reinstalação no mesmo poste de cruzeta dupla de madeira, concreto ou
aço, independente do comprimento, para melhoria de rede, cotas de afastamento,
cruzamento aéreo ou virada do poste.</t>
        </r>
        <r>
          <rPr>
            <sz val="8"/>
            <color indexed="81"/>
            <rFont val="Segoe UI"/>
            <family val="2"/>
          </rPr>
          <t xml:space="preserve">
</t>
        </r>
      </text>
    </comment>
    <comment ref="D817" authorId="0" shapeId="0" xr:uid="{EC1C11D3-69D4-43F1-BDD5-2C4FFB9DA507}">
      <text>
        <r>
          <rPr>
            <b/>
            <sz val="8"/>
            <color indexed="81"/>
            <rFont val="Segoe UI"/>
            <family val="2"/>
          </rPr>
          <t>COPEL: ESTRUTURAS PRIMÁRIAS
Compreende a instalação do isolador no pino</t>
        </r>
      </text>
    </comment>
    <comment ref="D819" authorId="0" shapeId="0" xr:uid="{32FB57B0-50A1-4ABE-BEA6-2BFDFAEBEC42}">
      <text>
        <r>
          <rPr>
            <b/>
            <sz val="8"/>
            <color indexed="81"/>
            <rFont val="Segoe UI"/>
            <family val="2"/>
          </rPr>
          <t>COPEL: ESTRUTURAS PRIMÁRIAS
Consiste na instalação do suporte T, para fixação de chaves ou pára-raios de distribuição</t>
        </r>
      </text>
    </comment>
    <comment ref="D821" authorId="0" shapeId="0" xr:uid="{14A0EFEF-F71D-43B8-BD6F-3E5B662770F9}">
      <text>
        <r>
          <rPr>
            <b/>
            <sz val="8"/>
            <color indexed="81"/>
            <rFont val="Segoe UI"/>
            <family val="2"/>
          </rPr>
          <t>COPEL: ESTRUTURAS PRIMÁRIAS
Consiste na instalação do suporte ou afastador para isolador pilar.</t>
        </r>
      </text>
    </comment>
    <comment ref="D823" authorId="0" shapeId="0" xr:uid="{34286057-3AB2-40BC-BA4D-BACCBCBDB9D1}">
      <text>
        <r>
          <rPr>
            <b/>
            <sz val="8"/>
            <color indexed="81"/>
            <rFont val="Segoe UI"/>
            <family val="2"/>
          </rPr>
          <t>COPEL: ESTRUTURAS SECUNDÁRIAS
Compreende a instalação do suporte em cruzeta para fixação da luminária, armação
secundária e medição centralizada.</t>
        </r>
      </text>
    </comment>
    <comment ref="D825" authorId="0" shapeId="0" xr:uid="{AF919870-E230-4387-839F-8454AADBDCDF}">
      <text>
        <r>
          <rPr>
            <b/>
            <sz val="8"/>
            <color indexed="81"/>
            <rFont val="Segoe UI"/>
            <family val="2"/>
          </rPr>
          <t>COPEL: ESTRUTURAS SECUNDÁRIAS
Compreende a instalação do afastador de rede secundária, para atender a cota mínima de segurança.</t>
        </r>
      </text>
    </comment>
    <comment ref="D827" authorId="0" shapeId="0" xr:uid="{8DBE754A-EA05-47DF-AC1B-2F5F1EEDC8A7}">
      <text>
        <r>
          <rPr>
            <b/>
            <sz val="8"/>
            <color indexed="81"/>
            <rFont val="Segoe UI"/>
            <family val="2"/>
          </rPr>
          <t>COPEL: ESTRUTURAS SECUNDÁRIAS
Compreende a instalação da armação secundária com 1 (um) estribo ou parafuso olhal.</t>
        </r>
        <r>
          <rPr>
            <sz val="8"/>
            <color indexed="81"/>
            <rFont val="Segoe UI"/>
            <family val="2"/>
          </rPr>
          <t xml:space="preserve">
</t>
        </r>
      </text>
    </comment>
    <comment ref="D829" authorId="0" shapeId="0" xr:uid="{CB3D1D67-35AA-4FA1-B9F4-605EF5379CA6}">
      <text>
        <r>
          <rPr>
            <b/>
            <sz val="8"/>
            <color indexed="81"/>
            <rFont val="Segoe UI"/>
            <family val="2"/>
          </rPr>
          <t>COPEL: ESTRUTURAS SECUNDÁRIAS
Compreende a instalação da armação secundária com mais de 1 (um) estribo.</t>
        </r>
      </text>
    </comment>
    <comment ref="D831" authorId="0" shapeId="0" xr:uid="{032C0896-9B1E-4D7F-B37C-E352E27045AF}">
      <text>
        <r>
          <rPr>
            <b/>
            <sz val="8"/>
            <color indexed="81"/>
            <rFont val="Segoe UI"/>
            <family val="2"/>
          </rPr>
          <t>COPEL: ESTRUTURAS SECUNDÁRIAS
Consiste no deslocamento ou reinstalação da armação secundária com mais de 1 (um)
estribo, inclusive a mudança da face do poste.</t>
        </r>
      </text>
    </comment>
    <comment ref="D832" authorId="0" shapeId="0" xr:uid="{86FD6F57-7E88-481C-B6FC-F16F338E0176}">
      <text>
        <r>
          <rPr>
            <b/>
            <sz val="8"/>
            <color indexed="81"/>
            <rFont val="Segoe UI"/>
            <family val="2"/>
          </rPr>
          <t>COPEL: ESTAIS E ANCORAGEM
Consiste no corte de poste de concreto, para aproveitamento como escora de subsolo,
incluindo o transporte até ao local de aplicação.</t>
        </r>
      </text>
    </comment>
    <comment ref="D833" authorId="0" shapeId="0" xr:uid="{2D42710D-B7D3-4F15-B90F-17844F0D4B8B}">
      <text>
        <r>
          <rPr>
            <b/>
            <sz val="8"/>
            <color indexed="81"/>
            <rFont val="Segoe UI"/>
            <family val="2"/>
          </rPr>
          <t>COPEL: ESTAIS E ANCORAGEM
Consiste na abertura complementar da cava, a instalação de placa de concreto ou pedaço
de poste de concreto, com 1,00 metro, para escora simples (superfície) de poste ou
contraposte, incluindo o apiloamento e fechamento da cava.</t>
        </r>
      </text>
    </comment>
    <comment ref="D834" authorId="0" shapeId="0" xr:uid="{E4181819-B5E0-4CB7-BE9A-E9E81625B169}">
      <text>
        <r>
          <rPr>
            <b/>
            <sz val="8"/>
            <color indexed="81"/>
            <rFont val="Segoe UI"/>
            <family val="2"/>
          </rPr>
          <t>COPEL: ESTAIS E ANCORAGEM
Consiste na abertura complementar da cava, na instalação de placa de concreto armado
ou pedaço de poste de concreto, com 1 (um) metro, para escora dupla, (fundo e
superfície), em poste ou contraposte, incluindo o apiloamento e fechamento da cava.</t>
        </r>
      </text>
    </comment>
    <comment ref="D835" authorId="0" shapeId="0" xr:uid="{C2A7868A-ED25-4281-8D28-E4D4ED0AC81D}">
      <text>
        <r>
          <rPr>
            <b/>
            <sz val="8"/>
            <color indexed="81"/>
            <rFont val="Segoe UI"/>
            <family val="2"/>
          </rPr>
          <t>COPEL: ESTAIS E ANCORAGEM
Consiste na instalação de haste de âncora e placa de concreto armado, em cava já aberta,
incluindo a fixação do cabo de aço simples ou reforçado, para alta ou baixa tensão.
Quando se tratar de estais em primário e secundário ou para manter o equilíbrio mecânico
da cruzeta, que aproveita a mesma haste de âncora, um dos estais deve ser considerado
como estai de poste a poste. A retirada compreende a retirada do cabo de aço e
acessórios de fixação, o corte da haste de âncora a 0,60 metros de profundidade.</t>
        </r>
      </text>
    </comment>
    <comment ref="D837" authorId="0" shapeId="0" xr:uid="{C9B24C88-3C32-44D1-A9E2-602E944C60E9}">
      <text>
        <r>
          <rPr>
            <b/>
            <sz val="8"/>
            <color indexed="81"/>
            <rFont val="Segoe UI"/>
            <family val="2"/>
          </rPr>
          <t>COPEL: ESTAIS E ANCORAGEM
Consiste na instalação do estai de contraposte simples para alta ou baixa tensão.
Quando se tratar de estais de alta e baixa tensão simultaneamente no mesmo contraposte,
um dos estais deve ser considerado como estai poste a poste.
*A retirada compreende a retirada de cabo de aço, acessórios de fixação e contraposte, e
o fechamento da cava e limpeza do local.</t>
        </r>
      </text>
    </comment>
    <comment ref="D839" authorId="0" shapeId="0" xr:uid="{4363083B-E8F2-4398-B5EC-C9EC40A8B4C1}">
      <text>
        <r>
          <rPr>
            <b/>
            <sz val="8"/>
            <color indexed="81"/>
            <rFont val="Segoe UI"/>
            <family val="2"/>
          </rPr>
          <t>COPEL: ESTAIS E ANCORAGEM
Consiste na instalação do estai de poste a poste, para alta ou baixa tensão.</t>
        </r>
      </text>
    </comment>
    <comment ref="D841" authorId="0" shapeId="0" xr:uid="{721B161E-8C3F-473E-A3FC-53931B3C267F}">
      <text>
        <r>
          <rPr>
            <b/>
            <sz val="8"/>
            <color indexed="81"/>
            <rFont val="Segoe UI"/>
            <family val="2"/>
          </rPr>
          <t>COPEL: ESTAIS E ANCORAGEM
Consiste na instalação e retirada de estai provisório durante o lançamento e tensionamento de cabos.</t>
        </r>
      </text>
    </comment>
    <comment ref="D842" authorId="0" shapeId="0" xr:uid="{A4CA918A-4075-4184-829C-CD69F5B125F2}">
      <text>
        <r>
          <rPr>
            <b/>
            <sz val="8"/>
            <color indexed="81"/>
            <rFont val="Segoe UI"/>
            <family val="2"/>
          </rPr>
          <t>COPEL: ESTAIS E ANCORAGEM
Compreende a perfuração da rocha, utilizando compressor, martelete, na profundidade e
diâmetro estabelecidos, para fixação de haste de âncora com parafuso, envolvidos em
nata de cimento e areia com traço 1:1,5 respectivamente. Inclui o fornecimento de cimento e areia pela empreiteira. A desmontagem consiste na retirada do estai e corte de haste de âncora ao nível do solo.</t>
        </r>
      </text>
    </comment>
    <comment ref="D844" authorId="0" shapeId="0" xr:uid="{96C1DA78-B1EC-4456-A158-11DE5DE2C8A7}">
      <text>
        <r>
          <rPr>
            <b/>
            <sz val="8"/>
            <color indexed="81"/>
            <rFont val="Segoe UI"/>
            <family val="2"/>
          </rPr>
          <t>COPEL: ESTAIS E ANCORAGEM
Consiste no retensionamento de cabo de aço em estai de âncora, contraposte ou poste a poste, simples ou reforçado, existente.</t>
        </r>
      </text>
    </comment>
    <comment ref="D845" authorId="0" shapeId="0" xr:uid="{A5E02857-2852-47BF-BEFA-F3C4364BC9D7}">
      <text>
        <r>
          <rPr>
            <b/>
            <sz val="8"/>
            <color indexed="81"/>
            <rFont val="Segoe UI"/>
            <family val="2"/>
          </rPr>
          <t>COPEL: ESTAIS E ANCORAGEM
Consiste na instalação do dispositivo para segurança no estai de âncora</t>
        </r>
      </text>
    </comment>
    <comment ref="D847" authorId="0" shapeId="0" xr:uid="{CE60E358-16F8-414C-BA8B-BF635EAD04D2}">
      <text>
        <r>
          <rPr>
            <b/>
            <sz val="8"/>
            <color indexed="81"/>
            <rFont val="Segoe UI"/>
            <family val="2"/>
          </rPr>
          <t>COPEL: ESTAIS E ANCORAGEM
Compreende a preparação e execução de sapata de concreto, com traço 1:3:5 (cimento,
areia e pedra) em cava já aberta, para fixação do poste ou estai de âncora em terrenos
inconsistentes, nos padrões exigidos, incluindo o fornecimento do material pela
empreiteira.</t>
        </r>
      </text>
    </comment>
    <comment ref="D848" authorId="0" shapeId="0" xr:uid="{48AA4146-99FF-402B-BE4A-3F973B999ED8}">
      <text>
        <r>
          <rPr>
            <b/>
            <sz val="8"/>
            <color indexed="81"/>
            <rFont val="Segoe UI"/>
            <family val="2"/>
          </rPr>
          <t>COPEL: ESTAIS E ANCORAGEM</t>
        </r>
        <r>
          <rPr>
            <sz val="8"/>
            <color indexed="81"/>
            <rFont val="Segoe UI"/>
            <family val="2"/>
          </rPr>
          <t xml:space="preserve">
*A retirada de concreto do poste deve ser feita sem danificá-lo e, quanto a âncora de estai,
cortá-la a 0,60 metros de profundidade. Inclui a escavação, fechamento da cava e limpeza
do local.</t>
        </r>
      </text>
    </comment>
    <comment ref="D849" authorId="0" shapeId="0" xr:uid="{A9BD4D52-CC92-406F-AF11-83970609A184}">
      <text>
        <r>
          <rPr>
            <b/>
            <sz val="8"/>
            <color indexed="81"/>
            <rFont val="Segoe UI"/>
            <family val="2"/>
          </rPr>
          <t>COPEL: ESTAIS E ANCORAGEM
Compreende a instalação do sinalizador de estai de âncora para melhorar a visualização
do esta</t>
        </r>
      </text>
    </comment>
    <comment ref="D851" authorId="0" shapeId="0" xr:uid="{3D384116-FEC2-42E3-A79C-FBBA1085D970}">
      <text>
        <r>
          <rPr>
            <b/>
            <sz val="8"/>
            <color indexed="81"/>
            <rFont val="Segoe UI"/>
            <family val="2"/>
          </rPr>
          <t>COPEL: LANÇAMENTO E TRACIONAMENTO DE CABOS DA PRIMÁRIA
Consiste no lançamento, tensionamento, regulagem e encabeçamento do cabo.</t>
        </r>
      </text>
    </comment>
    <comment ref="D853" authorId="0" shapeId="0" xr:uid="{37CBB18B-9CC0-4A3C-952C-F0980133C001}">
      <text>
        <r>
          <rPr>
            <b/>
            <sz val="8"/>
            <color indexed="81"/>
            <rFont val="Segoe UI"/>
            <family val="2"/>
          </rPr>
          <t>COPEL: LANÇAMENTO E TRACIONAMENTO DE CABOS DA PRIMÁRIA
Consiste no lançamento, tensionamento, regulagem e encabeçamento do cabo.</t>
        </r>
      </text>
    </comment>
    <comment ref="D855" authorId="0" shapeId="0" xr:uid="{459A32BF-8458-4A5B-BC64-0BD1A4011C13}">
      <text>
        <r>
          <rPr>
            <b/>
            <sz val="8"/>
            <color indexed="81"/>
            <rFont val="Segoe UI"/>
            <family val="2"/>
          </rPr>
          <t>COPEL: LANÇAMENTO E TRACIONAMENTO DE CABOS DA PRIMÁRIA
Consiste no lançamento, tensionamento, regulagem e encabeçamento do cabo</t>
        </r>
      </text>
    </comment>
    <comment ref="D857" authorId="0" shapeId="0" xr:uid="{901D853F-3DAA-4FDF-B87A-97B3B9FA64C2}">
      <text>
        <r>
          <rPr>
            <b/>
            <sz val="8"/>
            <color indexed="81"/>
            <rFont val="Segoe UI"/>
            <family val="2"/>
          </rPr>
          <t>COPEL: LANÇAMENTO E TRACIONAMENTO DE CABOS DA PRIMÁRIA
Consiste no lançamento, tensionamento, regulagem e encabeçamento do cabo</t>
        </r>
      </text>
    </comment>
    <comment ref="D859" authorId="0" shapeId="0" xr:uid="{B9579F4E-19D8-4028-8846-D021DA85663A}">
      <text>
        <r>
          <rPr>
            <b/>
            <sz val="8"/>
            <color indexed="81"/>
            <rFont val="Segoe UI"/>
            <family val="2"/>
          </rPr>
          <t>COPEL: LANÇAMENTO E TRACIONAMENTO DE CABOS DA PRIMÁRIA
Consiste no lançamento, tensionamento, regulagem e encabeçamento do cabo</t>
        </r>
      </text>
    </comment>
    <comment ref="D861" authorId="0" shapeId="0" xr:uid="{9437FD6A-334B-49A8-9856-9A388AD37596}">
      <text>
        <r>
          <rPr>
            <b/>
            <sz val="8"/>
            <color indexed="81"/>
            <rFont val="Segoe UI"/>
            <family val="2"/>
          </rPr>
          <t xml:space="preserve">COPEL: LANÇAMENTO E TRACIONAMENTO DE CABOS DA PRIMÁRIA
Consiste no lançamento, tensionamento, regulagem e encabeçamento do cabo.
</t>
        </r>
      </text>
    </comment>
    <comment ref="D863" authorId="0" shapeId="0" xr:uid="{4BFF7F0A-E53D-4048-8705-F0A0D8ED9952}">
      <text>
        <r>
          <rPr>
            <b/>
            <sz val="8"/>
            <color indexed="81"/>
            <rFont val="Segoe UI"/>
            <family val="2"/>
          </rPr>
          <t>COPEL: LANÇAMENTO E TRACIONAMENTO DE CABOS DA PRIMÁRIA
Consiste no lançamento, tensionamento, regulagem e encabeçamento do cabo.</t>
        </r>
      </text>
    </comment>
    <comment ref="D865" authorId="0" shapeId="0" xr:uid="{F1468B9D-847E-46CD-8FC8-73C59B182378}">
      <text>
        <r>
          <rPr>
            <b/>
            <sz val="8"/>
            <color indexed="81"/>
            <rFont val="Segoe UI"/>
            <family val="2"/>
          </rPr>
          <t>COPEL: LANÇAMENTO E TRACIONAMENTO DE CABOS DA PRIMÁRIA
Consiste no lançamento, tensionamento, regulagem e encabeçamento do cabo.</t>
        </r>
      </text>
    </comment>
    <comment ref="D867" authorId="0" shapeId="0" xr:uid="{C8B63B76-0E56-4361-A855-44E2758568F8}">
      <text>
        <r>
          <rPr>
            <b/>
            <sz val="8"/>
            <color indexed="81"/>
            <rFont val="Segoe UI"/>
            <family val="2"/>
          </rPr>
          <t>COPEL: LANÇAMENTO E TRACIONAMENTO DE CABOS DA PRIMÁRIA
Compreende o lançamento de cabo em eletroduto subterrâneo ou em descida de poste,
para atendimento de alta tensão, independente do número de fases, incluindo as conexões, exceto ligação à rede.</t>
        </r>
      </text>
    </comment>
    <comment ref="D869" authorId="0" shapeId="0" xr:uid="{0480E0D5-72AE-4289-A540-373C26C8EB60}">
      <text>
        <r>
          <rPr>
            <b/>
            <sz val="8"/>
            <color indexed="81"/>
            <rFont val="Segoe UI"/>
            <family val="2"/>
          </rPr>
          <t>COPEL: LANÇAMENTO E TRACIONAMENTO DE CABOS DA PRIMÁRIA
Compreende o retensionamento e regulagem de cabos em alta tensão, por cabo,
independente do tipo e bitola. A desamarração, amarração, emenda, cruzamento aéreo e jumpers, devem ser pagos separadamente</t>
        </r>
      </text>
    </comment>
    <comment ref="D870" authorId="0" shapeId="0" xr:uid="{F25D9E99-12BC-4039-8AB8-AFFFD555F553}">
      <text>
        <r>
          <rPr>
            <b/>
            <sz val="8"/>
            <color indexed="81"/>
            <rFont val="Segoe UI"/>
            <family val="2"/>
          </rPr>
          <t xml:space="preserve">COPEL: LANÇAMENTO E TRACIONAMENTO DE CABOS DA PRIMÁRIA
Consiste na instalação da canaleta de proteção do cabo em redes de distribuição aérea,
independente da bitola do cabo.
</t>
        </r>
      </text>
    </comment>
    <comment ref="D872" authorId="0" shapeId="0" xr:uid="{8D1CCEC8-A98B-4FED-B0AD-C241A1129965}">
      <text>
        <r>
          <rPr>
            <b/>
            <sz val="8"/>
            <color indexed="81"/>
            <rFont val="Segoe UI"/>
            <family val="2"/>
          </rPr>
          <t>COPEL: LANÇAMENTO E TRACIONAMENTO DE CABOS DA PRIMÁRIA
Compreende a instalação de eletroduto rígido ou flexível e fita de alerta para eletroduto
subterrâneo, em vala já aberta, para atendimento em redes de alta tensão ou baixa tensão.</t>
        </r>
      </text>
    </comment>
    <comment ref="D874" authorId="0" shapeId="0" xr:uid="{6F337711-E208-4A2E-807F-E3910FC3FF38}">
      <text>
        <r>
          <rPr>
            <b/>
            <sz val="8"/>
            <color indexed="81"/>
            <rFont val="Segoe UI"/>
            <family val="2"/>
          </rPr>
          <t>COPEL: LANÇAMENTO E TRACIONAMENTO DE CABOS DA PRIMÁRIA
Compreende a instalação da esfera de sinalização em cabo, para a identificação visual da rede.</t>
        </r>
      </text>
    </comment>
    <comment ref="D876" authorId="0" shapeId="0" xr:uid="{7CFF13B0-A71A-4593-9E30-6B934C94EA40}">
      <text>
        <r>
          <rPr>
            <b/>
            <sz val="8"/>
            <color indexed="81"/>
            <rFont val="Segoe UI"/>
            <family val="2"/>
          </rPr>
          <t>COPEL: LANÇAMENTO E TRACIONAMENTO DE CABOS DA SECUNDÁRIA
Consiste no lançamento, tensionamento, regulagem e encabeçamento do cabo</t>
        </r>
      </text>
    </comment>
    <comment ref="D878" authorId="0" shapeId="0" xr:uid="{4488EE28-61CF-43FF-AC07-A46DAF4791D1}">
      <text>
        <r>
          <rPr>
            <b/>
            <sz val="8"/>
            <color indexed="81"/>
            <rFont val="Segoe UI"/>
            <family val="2"/>
          </rPr>
          <t>COPEL: LANÇAMENTO E TRACIONAMENTO DE CABOS DA SECUNDÁRIA
Consiste no lançamento, tensionamento, regulagem e encabeçamento do cabo</t>
        </r>
      </text>
    </comment>
    <comment ref="D880" authorId="0" shapeId="0" xr:uid="{29FC7A4E-A6E7-4503-AEBC-A844AED42329}">
      <text>
        <r>
          <rPr>
            <b/>
            <sz val="8"/>
            <color indexed="81"/>
            <rFont val="Segoe UI"/>
            <family val="2"/>
          </rPr>
          <t xml:space="preserve">COPEL: LANÇAMENTO E TRACIONAMENTO DE CABOS DA SECUNDÁRIA
Consiste no lançamento, tensionamento, regulagem e encabeçamento do cabo.
</t>
        </r>
      </text>
    </comment>
    <comment ref="D882" authorId="0" shapeId="0" xr:uid="{E9C7F9C9-8481-4890-9353-CC316F8C2132}">
      <text>
        <r>
          <rPr>
            <b/>
            <sz val="8"/>
            <color indexed="81"/>
            <rFont val="Segoe UI"/>
            <family val="2"/>
          </rPr>
          <t>COPEL: LANÇAMENTO E TRACIONAMENTO DE CABOS DA SECUNDÁRIA
Consiste no lançamento, tensionamento, regulagem e encabeçamento do cabo.</t>
        </r>
      </text>
    </comment>
    <comment ref="D884" authorId="0" shapeId="0" xr:uid="{90E28409-A560-4AF0-9A2C-EED3103FF625}">
      <text>
        <r>
          <rPr>
            <b/>
            <sz val="8"/>
            <color indexed="81"/>
            <rFont val="Segoe UI"/>
            <family val="2"/>
          </rPr>
          <t>COPEL: LANÇAMENTO E TRACIONAMENTO DE CABOS DA SECUNDÁRIA
Compreende o lançamento de cabo em eletroduto subterrâneo ou descida de poste, para
atendimento em baixa tensão (BT), independente do número de fases, incluindo as
conexões, exceto ligação à rede.</t>
        </r>
      </text>
    </comment>
    <comment ref="D886" authorId="0" shapeId="0" xr:uid="{852EDB4F-1793-418D-9FA8-1D5CEA75E4A1}">
      <text>
        <r>
          <rPr>
            <b/>
            <sz val="8"/>
            <color indexed="81"/>
            <rFont val="Segoe UI"/>
            <family val="2"/>
          </rPr>
          <t>COPEL: LANÇAMENTO E TRACIONAMENTO DE CABOS DA SECUNDÁRIA
Compreende a aplicação de espaçador em vão de baixa tensão, para assegurar a
distância mínima entre fases.</t>
        </r>
      </text>
    </comment>
    <comment ref="D888" authorId="0" shapeId="0" xr:uid="{9664BF6D-7D26-4139-B048-4FBB5FB81D51}">
      <text>
        <r>
          <rPr>
            <b/>
            <sz val="8"/>
            <color indexed="81"/>
            <rFont val="Segoe UI"/>
            <family val="2"/>
          </rPr>
          <t>COPEL: LANÇAMENTO E TRACIONAMENTO DE CABOS DA SECUNDÁRIA
Compreende o retensionamento e regulagem de cabos em baixa tensão, por cabo,
independente do tipo e bitola. A desamarração, amarração, emenda, cruzamento aéreo e
jumpers, devem ser pagos separadamente.</t>
        </r>
      </text>
    </comment>
    <comment ref="D889" authorId="0" shapeId="0" xr:uid="{E53D8039-7536-4BAE-A02A-70262BD399C5}">
      <text>
        <r>
          <rPr>
            <b/>
            <sz val="8"/>
            <color indexed="81"/>
            <rFont val="Segoe UI"/>
            <family val="2"/>
          </rPr>
          <t>COPEL: ATERRAMENTOS E SECCIONAMENTGOS
Compreende a instalação do fio de aço-cobre em posto de transformador monofásico ou
trifásico na tensão 33 kV, para atuar como descida suplementar de proteção. Estão incluídos a instalação do eletroduto de PVC no poste e a solda exotérmica necessária.</t>
        </r>
      </text>
    </comment>
    <comment ref="D891" authorId="0" shapeId="0" xr:uid="{1A49081F-46DA-4AD5-BAEF-ACFC3070C560}">
      <text>
        <r>
          <rPr>
            <b/>
            <sz val="8"/>
            <color indexed="81"/>
            <rFont val="Segoe UI"/>
            <family val="2"/>
          </rPr>
          <t>COPEL: ATERRAMENTOS E SECCIONAMENTGOS
Consiste na realização do teste de ausência de tensão, instalação de
aterramento temporário de rede de BT.</t>
        </r>
      </text>
    </comment>
    <comment ref="D892" authorId="0" shapeId="0" xr:uid="{D3D94A81-AEC7-4245-9016-D53BFFE52F9F}">
      <text>
        <r>
          <rPr>
            <b/>
            <sz val="8"/>
            <color indexed="81"/>
            <rFont val="Segoe UI"/>
            <family val="2"/>
          </rPr>
          <t>COPEL: ATERRAMENTOS E SECCIONAMENTGOS
Consiste na realização do teste de ausência de tensão, fixação e retirada do trado no solo,
instalação e retirada do conjunto de aterramento temporário de rede de AT.</t>
        </r>
      </text>
    </comment>
    <comment ref="D893" authorId="0" shapeId="0" xr:uid="{E71D06E9-2DA5-4240-AE96-E8155C99664C}">
      <text>
        <r>
          <rPr>
            <b/>
            <sz val="8"/>
            <color indexed="81"/>
            <rFont val="Segoe UI"/>
            <family val="2"/>
          </rPr>
          <t>COPEL: ATERRAMENTOS E SECCIONAMENTGOS
Compreende a aplicação do fio de aço-cobre, conexão aos equipamentos, escavação complementar, cravação da haste no solo, execução de solda exotérmica, a medição de resistência do aterramento e fechamento da cava.
Inclui a aplicação do eletroduto de PVC no poste quando necessário. Nesta atividade paga-se também a realização do serviço de fiscalização por amostragem dos aterramentos de AT, a razão de 60% da U.S.</t>
        </r>
      </text>
    </comment>
    <comment ref="D894" authorId="0" shapeId="0" xr:uid="{C4296B72-1F8E-4313-AD99-597C2E2CA58F}">
      <text>
        <r>
          <rPr>
            <b/>
            <sz val="8"/>
            <color indexed="81"/>
            <rFont val="Segoe UI"/>
            <family val="2"/>
          </rPr>
          <t>COPEL: ATERRAMENTOS E SECCIONAMENTGOS
Consiste na cravação da haste de aço-cobre no solo, solda exotérmica necessária,
Medição da resistência do aterramento e fechamento da cava. Nesta atividade paga-se também o 
aterramento da entrada de serviço de consumidor, inclusive a conexão na carcaça.</t>
        </r>
      </text>
    </comment>
    <comment ref="D895" authorId="0" shapeId="0" xr:uid="{B821B6D9-A0FA-453E-91A5-B2047FC50746}">
      <text>
        <r>
          <rPr>
            <b/>
            <sz val="8"/>
            <color indexed="81"/>
            <rFont val="Segoe UI"/>
            <family val="2"/>
          </rPr>
          <t>COPEL: ATERRAMENTOS E SECCIONAMENTGOS
Compreende a cravação da haste de aço-cobre, execução da solda, medição da
resistência de aterramento e fechamento da cava.</t>
        </r>
      </text>
    </comment>
    <comment ref="D896" authorId="0" shapeId="0" xr:uid="{429BFB8E-16C8-404F-A843-110194A789B2}">
      <text>
        <r>
          <rPr>
            <b/>
            <sz val="8"/>
            <color indexed="81"/>
            <rFont val="Segoe UI"/>
            <family val="2"/>
          </rPr>
          <t>COPEL: ATERRAMENTOS E SECCIONAMENTGOS
Consiste na cravação da haste zincada no solo, a interligação dos fios da cerca, através de
arame, sua fixação no mourão com grampos U para madeira e a conexão na haste de aterramento cravada.</t>
        </r>
      </text>
    </comment>
    <comment ref="D897" authorId="0" shapeId="0" xr:uid="{58BFD804-7375-4AAE-969C-825243D256FB}">
      <text>
        <r>
          <rPr>
            <b/>
            <sz val="8"/>
            <color indexed="81"/>
            <rFont val="Segoe UI"/>
            <family val="2"/>
          </rPr>
          <t>COPEL: ATERRAMENTOS E SECCIONAMENTGOS
Compreende a abertura de valeta de 0,60 metro de profundidade mínima, exceto em
rocha, incluindo o lançamento do fio de aço-cobre e fechamento da valeta.</t>
        </r>
      </text>
    </comment>
    <comment ref="D898" authorId="0" shapeId="0" xr:uid="{624D4C43-730D-47EB-8C9B-315D2C468D92}">
      <text>
        <r>
          <rPr>
            <b/>
            <sz val="8"/>
            <color indexed="81"/>
            <rFont val="Segoe UI"/>
            <family val="2"/>
          </rPr>
          <t>COPEL: ATERRAMENTOS E SECCIONAMENTGOS
Consiste na aplicação do produto químico para tratamento do solo, afim de reduzir o valor
da sua resistividade. Estão incluídos os serviços de preparação da cava, utilização de água
até encharcar o solo em torno da haste, aplicação de produto na cava com a mistura de
terra até formação da pasta e a compactação do solo.
Inclui o transporte de todo o material necessário.</t>
        </r>
      </text>
    </comment>
    <comment ref="D899" authorId="0" shapeId="0" xr:uid="{14BEC931-3C7A-4A31-A924-553854305394}">
      <text>
        <r>
          <rPr>
            <b/>
            <sz val="8"/>
            <color indexed="81"/>
            <rFont val="Segoe UI"/>
            <family val="2"/>
          </rPr>
          <t>COPEL: ATERRAMENTOS E SECCIONAMENTGOS
Compreende a preparação do equipamento, a análise de riscos, o teste de ausência de
tensão, a instalação do trado no solo, a instalação da sela no poste, e as conexões do
aterramento à rede elétrica. Consiste ainda a retirada e acondicionamento do
equipamento. Este item deve ser pago por estrutura onde houver instalação do
aterramento, independente da quantidade de eletricistas que escalar a estrutura</t>
        </r>
      </text>
    </comment>
    <comment ref="D900" authorId="0" shapeId="0" xr:uid="{5B0DA569-0043-4EA5-8B6C-1ECB3EF44775}">
      <text>
        <r>
          <rPr>
            <b/>
            <sz val="8"/>
            <color indexed="81"/>
            <rFont val="Segoe UI"/>
            <family val="2"/>
          </rPr>
          <t>COPEL: ATERRAMENTOS E SECCIONAMENTGOS
Compreende a aplicação do seccionador preformado para aterramento de cerca, em
qualquer tipo de fio e o acabamento de modo a interrompê-lo fisicamente.</t>
        </r>
      </text>
    </comment>
    <comment ref="D902" authorId="0" shapeId="0" xr:uid="{16BFBE40-3717-459E-AF9A-CFCDA0C8ED5C}">
      <text>
        <r>
          <rPr>
            <b/>
            <sz val="8"/>
            <color indexed="81"/>
            <rFont val="Segoe UI"/>
            <family val="2"/>
          </rPr>
          <t>COPEL: ILUMINAÇÃO PÚBLICA
Compreende a instalação de base para relé de iluminação pública de comando em grupo
ou individual e as conexões necessárias, exceto ligação à rede.</t>
        </r>
      </text>
    </comment>
    <comment ref="D904" authorId="0" shapeId="0" xr:uid="{7D9005CD-DC02-4299-9062-9AD108AE2583}">
      <text>
        <r>
          <rPr>
            <b/>
            <sz val="8"/>
            <color indexed="81"/>
            <rFont val="Segoe UI"/>
            <family val="2"/>
          </rPr>
          <t>COPEL: ILUMINAÇÃO PÚBLICA
Compreende a instalação de braço de iluminação pública de até 2 metros de comprimento,
com luminária aberta ou fechada com lâmpada mista, incandescente, vapor de mercúrio
(VMC) ou vapor de sódio (VSA), incluindo a aplicação do fio no braço e as conexões
necessárias, exceto ligação à rede.</t>
        </r>
      </text>
    </comment>
    <comment ref="D906" authorId="0" shapeId="0" xr:uid="{8E11F27C-2CA0-4326-81E5-06372524E8EE}">
      <text>
        <r>
          <rPr>
            <b/>
            <sz val="8"/>
            <color indexed="81"/>
            <rFont val="Segoe UI"/>
            <family val="2"/>
          </rPr>
          <t>COPEL: ILUMINAÇÃO PÚBLICA
Compreende a instalação de braço para iluminação pública acima de 2 metros de
comprimento, com luminária aberta ou fechada com lâmpada mista, incandescente, vapor
de mercúrio (VMC) ou vapor de sódio (VSA), incluindo a aplicação do fio no braço e as
conexões necessárias, exceto ligação à rede.</t>
        </r>
      </text>
    </comment>
    <comment ref="D908" authorId="0" shapeId="0" xr:uid="{57D38E61-5B0C-420C-AC1D-AECCE5837190}">
      <text>
        <r>
          <rPr>
            <b/>
            <sz val="8"/>
            <color indexed="81"/>
            <rFont val="Segoe UI"/>
            <family val="2"/>
          </rPr>
          <t>COPEL: COPEL: ILUMINAÇÃO PÚBLICA
Consiste no deslocamento da luminária montada, independente do tipo, para respeitar a
cota de afastamento ou possibilitar um melhor padrão de iluminação da área, exceto
ligação à rede.</t>
        </r>
      </text>
    </comment>
    <comment ref="D909" authorId="0" shapeId="0" xr:uid="{798044DA-030E-4D5A-BE7F-A0D0E1BA238F}">
      <text>
        <r>
          <rPr>
            <b/>
            <sz val="8"/>
            <color indexed="81"/>
            <rFont val="Segoe UI"/>
            <family val="2"/>
          </rPr>
          <t>COPEL: ILUMINAÇÃO PÚBLICA
Compreende a instalação de luminária e lâmpada, em braço já instalado de iluminação
pública, independente do tipo de luminária, incluindo as conexões necessárias, exceto
ligação à rede.</t>
        </r>
      </text>
    </comment>
    <comment ref="D911" authorId="0" shapeId="0" xr:uid="{20708591-BA36-4A3F-BBC8-CCF801C00B7A}">
      <text>
        <r>
          <rPr>
            <b/>
            <sz val="8"/>
            <color indexed="81"/>
            <rFont val="Segoe UI"/>
            <family val="2"/>
          </rPr>
          <t>COPEL: ILUMINAÇÃO PÚBLICA
Compreende a instalação da luminária tipo pétala, para iluminação pública, incluindo as
conexões necessárias, inclusive montagem de andaime quando necessário.</t>
        </r>
      </text>
    </comment>
    <comment ref="D913" authorId="0" shapeId="0" xr:uid="{6BA67A08-370B-499A-B948-484A9AA66F81}">
      <text>
        <r>
          <rPr>
            <b/>
            <sz val="8"/>
            <color indexed="81"/>
            <rFont val="Segoe UI"/>
            <family val="2"/>
          </rPr>
          <t>COPEL: ILUMINAÇÃO PÚBLICA
Compreende a locação, abertura da cava, levantamento de poste ornamental de aço
escalonado tipo chicote, simples ou duplo, instalação de luminária e as conexões
necessárias, inclusive a pintura do poste, quando necessária.</t>
        </r>
      </text>
    </comment>
    <comment ref="D915" authorId="0" shapeId="0" xr:uid="{A6F75EBE-4E92-4BCA-A561-ED3A0511CD9C}">
      <text>
        <r>
          <rPr>
            <b/>
            <sz val="8"/>
            <color indexed="81"/>
            <rFont val="Segoe UI"/>
            <family val="2"/>
          </rPr>
          <t>COPEL: ILUMINAÇÃO PÚBLICA
Compreende a locação, abertura da cava, levantamento de poste ornamental com
luminária decorativa e as conexões necessárias, inclui a pintura de poste quando
necessária.</t>
        </r>
      </text>
    </comment>
    <comment ref="D917" authorId="0" shapeId="0" xr:uid="{C2D6AB72-A91A-4733-A3D7-49EEBF028A5F}">
      <text>
        <r>
          <rPr>
            <b/>
            <sz val="8"/>
            <color indexed="81"/>
            <rFont val="Segoe UI"/>
            <family val="2"/>
          </rPr>
          <t>COPEL: ILUMINAÇÃO PÚBLICA
Compreende a instalação do reator de iluminação pública, para lâmpada de qualquer tipo,
inclusive as conexões necessárias, exceto ligação à rede.</t>
        </r>
      </text>
    </comment>
    <comment ref="D919" authorId="0" shapeId="0" xr:uid="{A09737AC-B800-4DFA-ABE1-9D174FF19CDB}">
      <text>
        <r>
          <rPr>
            <b/>
            <sz val="8"/>
            <color indexed="81"/>
            <rFont val="Segoe UI"/>
            <family val="2"/>
          </rPr>
          <t>COPEL: ILUMINAÇÃO PÚBLICA
Compreende a instalação do refletor com lâmpada, incluindo a regulagem e conexões
necessárias, exceto ligação à rede.</t>
        </r>
      </text>
    </comment>
    <comment ref="D921" authorId="0" shapeId="0" xr:uid="{99F26234-CFDD-4B07-82C9-5C59F9D1B9DA}">
      <text>
        <r>
          <rPr>
            <b/>
            <sz val="8"/>
            <color indexed="81"/>
            <rFont val="Segoe UI"/>
            <family val="2"/>
          </rPr>
          <t>COPEL: ILUMINAÇÃO PÚBLICA
Consiste na retirada do conjunto braço e luminária montados e sua reinstalação no mesmo
poste ou outro poste da mesma obra, incluindo a conexão necessárias, exceto ligação à
rede.</t>
        </r>
      </text>
    </comment>
    <comment ref="D922" authorId="0" shapeId="0" xr:uid="{45C9EEF0-90B1-4233-9F2B-57E239850B8E}">
      <text>
        <r>
          <rPr>
            <b/>
            <sz val="8"/>
            <color indexed="81"/>
            <rFont val="Segoe UI"/>
            <family val="2"/>
          </rPr>
          <t>COPEL: ILUMINAÇÃO PÚBLICA
Compreende a instalação de relé fotoelétrico de iluminação pública.</t>
        </r>
      </text>
    </comment>
    <comment ref="D924" authorId="0" shapeId="0" xr:uid="{E8316DCB-C1E4-4DFD-80EF-ADC7094C4351}">
      <text>
        <r>
          <rPr>
            <b/>
            <sz val="8"/>
            <color indexed="81"/>
            <rFont val="Segoe UI"/>
            <family val="2"/>
          </rPr>
          <t>COPEL: ILUMINAÇÃO PÚBLICA
Compreende a instalação de relé fotoelétrico de iluminação pública.</t>
        </r>
      </text>
    </comment>
    <comment ref="D925" authorId="0" shapeId="0" xr:uid="{4D80F253-4350-4428-90CF-C226CF0AF2F5}">
      <text>
        <r>
          <rPr>
            <b/>
            <sz val="8"/>
            <color indexed="81"/>
            <rFont val="Segoe UI"/>
            <family val="2"/>
          </rPr>
          <t>COPEL: ILUMINAÇÃO PÚBLICA
Compreende a instalação de caixa padrão COPEL, tipo A ou B, para circuito de iluminação
pública, incluindo a fixação do eletroduto no poste, a fiação imbutida, e as conexões
necessárias, exceto ligação à rede.</t>
        </r>
      </text>
    </comment>
    <comment ref="I2611" authorId="0" shapeId="0" xr:uid="{26012E4B-C5CF-4C83-B036-B59A761BDF4C}">
      <text>
        <r>
          <rPr>
            <b/>
            <sz val="8"/>
            <color indexed="81"/>
            <rFont val="Segoe UI"/>
            <family val="2"/>
          </rPr>
          <t>Mínimo um ensaio
Cada 100m de pista</t>
        </r>
        <r>
          <rPr>
            <sz val="8"/>
            <color indexed="81"/>
            <rFont val="Segoe UI"/>
            <family val="2"/>
          </rPr>
          <t xml:space="preserve">
</t>
        </r>
      </text>
    </comment>
    <comment ref="I2612" authorId="0" shapeId="0" xr:uid="{DE197641-222C-45E3-A309-67EEFF8852E9}">
      <text>
        <r>
          <rPr>
            <b/>
            <sz val="8"/>
            <color indexed="81"/>
            <rFont val="Segoe UI"/>
            <family val="2"/>
          </rPr>
          <t>Mínimo um ensaio
Cada 100m de pista</t>
        </r>
        <r>
          <rPr>
            <sz val="8"/>
            <color indexed="81"/>
            <rFont val="Segoe UI"/>
            <family val="2"/>
          </rPr>
          <t xml:space="preserve">
</t>
        </r>
      </text>
    </comment>
    <comment ref="I2613" authorId="0" shapeId="0" xr:uid="{32749B5A-74FA-47BE-8F3F-CE45CC309DFC}">
      <text>
        <r>
          <rPr>
            <b/>
            <sz val="8"/>
            <color indexed="81"/>
            <rFont val="Segoe UI"/>
            <family val="2"/>
          </rPr>
          <t>Mínimo um ensaio
Cada 100m de pista</t>
        </r>
        <r>
          <rPr>
            <sz val="8"/>
            <color indexed="81"/>
            <rFont val="Segoe UI"/>
            <family val="2"/>
          </rPr>
          <t xml:space="preserve">
</t>
        </r>
      </text>
    </comment>
    <comment ref="I2614" authorId="0" shapeId="0" xr:uid="{B1039331-6A4C-4F10-B89A-45858AE005E8}">
      <text>
        <r>
          <rPr>
            <b/>
            <sz val="8"/>
            <color indexed="81"/>
            <rFont val="Segoe UI"/>
            <family val="2"/>
          </rPr>
          <t>Mínimo um ensaio
Cada 100m de pista</t>
        </r>
        <r>
          <rPr>
            <sz val="8"/>
            <color indexed="81"/>
            <rFont val="Segoe UI"/>
            <family val="2"/>
          </rPr>
          <t xml:space="preserve">
</t>
        </r>
      </text>
    </comment>
    <comment ref="I2615" authorId="0" shapeId="0" xr:uid="{84613197-B5FF-46D7-AD85-081DD58C4B07}">
      <text>
        <r>
          <rPr>
            <b/>
            <sz val="8"/>
            <color indexed="81"/>
            <rFont val="Segoe UI"/>
            <family val="2"/>
          </rPr>
          <t>Mínimo um ensaio
Cada 100m de pista</t>
        </r>
        <r>
          <rPr>
            <sz val="8"/>
            <color indexed="81"/>
            <rFont val="Segoe UI"/>
            <family val="2"/>
          </rPr>
          <t xml:space="preserve">
</t>
        </r>
      </text>
    </comment>
    <comment ref="I2616" authorId="0" shapeId="0" xr:uid="{FFB76C13-36D2-476D-9B84-5113591BB74B}">
      <text>
        <r>
          <rPr>
            <b/>
            <sz val="8"/>
            <color indexed="81"/>
            <rFont val="Segoe UI"/>
            <family val="2"/>
          </rPr>
          <t>Mínimo um ensaio
Cada 800m2 de pista</t>
        </r>
        <r>
          <rPr>
            <sz val="8"/>
            <color indexed="81"/>
            <rFont val="Segoe UI"/>
            <family val="2"/>
          </rPr>
          <t xml:space="preserve">
</t>
        </r>
      </text>
    </comment>
    <comment ref="I2617" authorId="0" shapeId="0" xr:uid="{650F74BF-DBFA-4546-9FA9-9FE93A0765CB}">
      <text>
        <r>
          <rPr>
            <b/>
            <sz val="8"/>
            <color indexed="81"/>
            <rFont val="Segoe UI"/>
            <family val="2"/>
          </rPr>
          <t>Mínimo um ensaio
Cada 600m2 de pista</t>
        </r>
        <r>
          <rPr>
            <sz val="8"/>
            <color indexed="81"/>
            <rFont val="Segoe UI"/>
            <family val="2"/>
          </rPr>
          <t xml:space="preserve">
</t>
        </r>
      </text>
    </comment>
    <comment ref="I2618" authorId="0" shapeId="0" xr:uid="{2664B097-E09A-4727-9EA5-71298F0496C2}">
      <text>
        <r>
          <rPr>
            <b/>
            <sz val="8"/>
            <color indexed="81"/>
            <rFont val="Segoe UI"/>
            <family val="2"/>
          </rPr>
          <t>Mínimo um ensaio
Cada 700m2 de pista</t>
        </r>
        <r>
          <rPr>
            <sz val="8"/>
            <color indexed="81"/>
            <rFont val="Segoe UI"/>
            <family val="2"/>
          </rPr>
          <t xml:space="preserve">
</t>
        </r>
      </text>
    </comment>
    <comment ref="I2619" authorId="0" shapeId="0" xr:uid="{F4077D63-865F-4A96-B078-D278CB11A524}">
      <text>
        <r>
          <rPr>
            <b/>
            <sz val="8"/>
            <color indexed="81"/>
            <rFont val="Segoe UI"/>
            <family val="2"/>
          </rPr>
          <t>Mínimo um ensaio
Cada 600m2 de pista</t>
        </r>
        <r>
          <rPr>
            <sz val="8"/>
            <color indexed="81"/>
            <rFont val="Segoe UI"/>
            <family val="2"/>
          </rPr>
          <t xml:space="preserve">
</t>
        </r>
      </text>
    </comment>
    <comment ref="I2620" authorId="0" shapeId="0" xr:uid="{14A09C18-8214-4C7B-AD3F-AEF86CD7F0EF}">
      <text>
        <r>
          <rPr>
            <b/>
            <sz val="8"/>
            <color indexed="81"/>
            <rFont val="Segoe UI"/>
            <family val="2"/>
          </rPr>
          <t>Mínimo um ensaio
Cada 700m2 de pista</t>
        </r>
        <r>
          <rPr>
            <sz val="8"/>
            <color indexed="81"/>
            <rFont val="Segoe UI"/>
            <family val="2"/>
          </rPr>
          <t xml:space="preserve">
</t>
        </r>
      </text>
    </comment>
    <comment ref="I2621" authorId="0" shapeId="0" xr:uid="{79619DD9-0E72-4289-BA88-733B92E12E62}">
      <text>
        <r>
          <rPr>
            <b/>
            <sz val="8"/>
            <color indexed="81"/>
            <rFont val="Segoe UI"/>
            <family val="2"/>
          </rPr>
          <t>Mínimo um ensaio
Cada 600m2 de pista</t>
        </r>
        <r>
          <rPr>
            <sz val="8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<sst xmlns="http://schemas.openxmlformats.org/spreadsheetml/2006/main" count="9014" uniqueCount="2109">
  <si>
    <t>:</t>
  </si>
  <si>
    <t>SUBPROJETO</t>
  </si>
  <si>
    <t>PROTOCOLO</t>
  </si>
  <si>
    <t xml:space="preserve">ARQ Nº </t>
  </si>
  <si>
    <t>LOCAL</t>
  </si>
  <si>
    <t>DMT</t>
  </si>
  <si>
    <t>CONSUMO</t>
  </si>
  <si>
    <t>CUSTOS UNITÁRIOS - ( R$ )</t>
  </si>
  <si>
    <t>PROJETO ORIGINAL</t>
  </si>
  <si>
    <t>TRANSP</t>
  </si>
  <si>
    <t>EXEC.</t>
  </si>
  <si>
    <t>S/BDI</t>
  </si>
  <si>
    <t>C/BDI</t>
  </si>
  <si>
    <t>QUANT</t>
  </si>
  <si>
    <t>UNIT</t>
  </si>
  <si>
    <t>( R$ ) - PM</t>
  </si>
  <si>
    <t>m3</t>
  </si>
  <si>
    <t xml:space="preserve"> </t>
  </si>
  <si>
    <t>m2</t>
  </si>
  <si>
    <t>m</t>
  </si>
  <si>
    <t>ton</t>
  </si>
  <si>
    <t>un</t>
  </si>
  <si>
    <t>TOTAL GERAL</t>
  </si>
  <si>
    <t>kg</t>
  </si>
  <si>
    <t>BLSA120</t>
  </si>
  <si>
    <t>BLSA150</t>
  </si>
  <si>
    <t>BLSA200</t>
  </si>
  <si>
    <t>BLSA250</t>
  </si>
  <si>
    <t>BLSC120</t>
  </si>
  <si>
    <t>BLSC150</t>
  </si>
  <si>
    <t>BLSC200</t>
  </si>
  <si>
    <t>BLSC250</t>
  </si>
  <si>
    <t>BLDA120</t>
  </si>
  <si>
    <t>BLDA150</t>
  </si>
  <si>
    <t>BLDC120</t>
  </si>
  <si>
    <t>BLDC150</t>
  </si>
  <si>
    <t>CLA060</t>
  </si>
  <si>
    <t>CLA080</t>
  </si>
  <si>
    <t>CLA100</t>
  </si>
  <si>
    <t>CLA120</t>
  </si>
  <si>
    <t>CLC060</t>
  </si>
  <si>
    <t>CLC080</t>
  </si>
  <si>
    <t>CLC100</t>
  </si>
  <si>
    <t>CLC120</t>
  </si>
  <si>
    <t>CLC150</t>
  </si>
  <si>
    <t>CLC200</t>
  </si>
  <si>
    <t>PVAH150</t>
  </si>
  <si>
    <t>PVCH150</t>
  </si>
  <si>
    <t>PVCH200</t>
  </si>
  <si>
    <t>PVCH250</t>
  </si>
  <si>
    <t>VIGA080</t>
  </si>
  <si>
    <t>VIGA100</t>
  </si>
  <si>
    <t>VIGA120</t>
  </si>
  <si>
    <t>DISSIPM</t>
  </si>
  <si>
    <t>serviço</t>
  </si>
  <si>
    <t>TIJOLO</t>
  </si>
  <si>
    <t>cimen</t>
  </si>
  <si>
    <t>areia</t>
  </si>
  <si>
    <t>brita</t>
  </si>
  <si>
    <t>custo
exec</t>
  </si>
  <si>
    <t>CAL</t>
  </si>
  <si>
    <t>forma
   m2</t>
  </si>
  <si>
    <t>TIJOLO
M3</t>
  </si>
  <si>
    <t>concr
magr</t>
  </si>
  <si>
    <t>Concr
11mpa</t>
  </si>
  <si>
    <t>Concr
15mpa</t>
  </si>
  <si>
    <t>argamas
M2</t>
  </si>
  <si>
    <t>aço
ca 60</t>
  </si>
  <si>
    <t>grelha</t>
  </si>
  <si>
    <t>B.L. Símples alvenaria H até 1,20 m</t>
  </si>
  <si>
    <t>B.L. Símples alvenaria H até 1,50 m</t>
  </si>
  <si>
    <t>B.L. Símples alvenaria H até 2,00 m</t>
  </si>
  <si>
    <t>B.L. Símples alvenaria H até 2,50 m</t>
  </si>
  <si>
    <t>C.L. Alvenaria Tubo até 0,80</t>
  </si>
  <si>
    <t>C.L. Alvenaria Tubo até 1,00</t>
  </si>
  <si>
    <t>C.L. Alvenaria Tubo até 1,20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</si>
  <si>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</si>
  <si>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</si>
  <si>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</si>
  <si>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</si>
  <si>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</si>
  <si>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</si>
  <si>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</si>
  <si>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</si>
  <si>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</si>
  <si>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</si>
  <si>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0,0025</t>
  </si>
  <si>
    <t>0,0001</t>
  </si>
  <si>
    <t>0,0024</t>
  </si>
  <si>
    <t>0,0038</t>
  </si>
  <si>
    <t>0,0002</t>
  </si>
  <si>
    <t>0,0062</t>
  </si>
  <si>
    <t>0,0043</t>
  </si>
  <si>
    <t>0,0119</t>
  </si>
  <si>
    <t>0,0004</t>
  </si>
  <si>
    <t>0,0082</t>
  </si>
  <si>
    <t>tubo
ø80</t>
  </si>
  <si>
    <t>0,6231</t>
  </si>
  <si>
    <t>2,2155</t>
  </si>
  <si>
    <t>C.L. Alvenaria Tubo até 0,40</t>
  </si>
  <si>
    <t>C.L. Alvenaria Tubo até 0,60</t>
  </si>
  <si>
    <t>B.L. Dupla Alvenaria H até 1,20 m</t>
  </si>
  <si>
    <t>B.L. Dupla Alvenaria H até 1,50 m</t>
  </si>
  <si>
    <t>B.L. Dupla Alvenaria H até 2,00 m</t>
  </si>
  <si>
    <t>B.L. Dupla Alvenaria H até 2,50 m</t>
  </si>
  <si>
    <t>B.L. Símples concreto armado H até 1,50 m</t>
  </si>
  <si>
    <t>B.L. Símples concreto armado H até 2,00 m</t>
  </si>
  <si>
    <t>B.L. Símples concreto armado H até 2,50 m</t>
  </si>
  <si>
    <t>B.L. Símples concreto armado H até 1,20 m</t>
  </si>
  <si>
    <t>B.L. Dupla Concreto armado H até 1,50 m</t>
  </si>
  <si>
    <t>B.L. Dupla Concreto armado H até 2,00 m</t>
  </si>
  <si>
    <t>B.L. Dupla Concreto armado H até 2,50 m</t>
  </si>
  <si>
    <t>B.L. Dupla Concreto armado H até 1,20 m</t>
  </si>
  <si>
    <t>BLSM120</t>
  </si>
  <si>
    <t>BLSM150</t>
  </si>
  <si>
    <t>BLSM200</t>
  </si>
  <si>
    <t>BLSM250</t>
  </si>
  <si>
    <t>BLDA200</t>
  </si>
  <si>
    <t>BLDA250</t>
  </si>
  <si>
    <t>BLDM120</t>
  </si>
  <si>
    <t>BLDM150</t>
  </si>
  <si>
    <t>BLDM200</t>
  </si>
  <si>
    <t>BLDM250</t>
  </si>
  <si>
    <t>BLDC200</t>
  </si>
  <si>
    <t>BLDC250</t>
  </si>
  <si>
    <t>CLA040</t>
  </si>
  <si>
    <t>CLM040</t>
  </si>
  <si>
    <t>CLM060</t>
  </si>
  <si>
    <t>CLM080</t>
  </si>
  <si>
    <t>CLM100</t>
  </si>
  <si>
    <t>CLM120</t>
  </si>
  <si>
    <t>CLC040</t>
  </si>
  <si>
    <t>PVAH180</t>
  </si>
  <si>
    <t>PVAH80</t>
  </si>
  <si>
    <t>PVAH100</t>
  </si>
  <si>
    <t>PVAH130</t>
  </si>
  <si>
    <t>PVMH80</t>
  </si>
  <si>
    <t>PVMH100</t>
  </si>
  <si>
    <t>PVMH130</t>
  </si>
  <si>
    <t>PVMH150</t>
  </si>
  <si>
    <t>PVMH180</t>
  </si>
  <si>
    <t>PVCH80</t>
  </si>
  <si>
    <t>PVCH100</t>
  </si>
  <si>
    <t>PVCH130</t>
  </si>
  <si>
    <t>PVCH180</t>
  </si>
  <si>
    <t>P.V. Alvenaria H até 0,80 m Tubo até 0,40 + chaminé 1,00 m</t>
  </si>
  <si>
    <t>P.V. Alvenaria H até 1,00 m Tubo até 0,60 + chaminé 1,00 m</t>
  </si>
  <si>
    <t>P.V. Alvenaria H até 1,30 m Tubo até 0,80 + chaminé 1,00 m</t>
  </si>
  <si>
    <t>P.V. Alvenaria H até 1,50 m Tubo até 1,00 + chaminé 1,00 m</t>
  </si>
  <si>
    <t>P.V. Alvenaria H até 1,80 m Tubo até 1,20 + chaminé 1,00 m</t>
  </si>
  <si>
    <t>P.V. Pré-moldado H até 0,80 m Tubo até 0,40 + chaminé 1,00 m</t>
  </si>
  <si>
    <t>P.V. Pré-moldado H até 1,00 m Tubo até 0,60 + chaminé 1,00 m</t>
  </si>
  <si>
    <t>P.V. Pré-moldado H até 1,30 m Tubo até 0,80 + chaminé 1,00 m</t>
  </si>
  <si>
    <t>P.V. Pré-moldado H até 1,50 m Tubo até 1,00 + chaminé 1,00 m</t>
  </si>
  <si>
    <t>P.V. Pré-moldado H até 1,80 m Tubo até 1,20 + chaminé 1,00 m</t>
  </si>
  <si>
    <t>P.V. Concreto armado H até 0,80 m Tubo até 0,40 + chaminé 1,00 m</t>
  </si>
  <si>
    <t>P.V. Concreto armado H até 1,00 m Tubo até 0,60 + chaminé 1,00 m</t>
  </si>
  <si>
    <t>P.V. Concreto armado H até 1,30 m Tubo até 0,80 + chaminé 1,00 m</t>
  </si>
  <si>
    <t>P.V. Concreto armado H até 1,50 m Tubo até 1,00 + chaminé 1,00 m</t>
  </si>
  <si>
    <t>P.V. Concreto armado H até 1,80 m Tubo até 1,20 + chaminé 1,00 m</t>
  </si>
  <si>
    <t>P.V. Concreto armado H até 2,00 m Tubo até 1,50 + chaminé 1,00 m</t>
  </si>
  <si>
    <t>P.V. Concreto armado H até 2,50 m Tubo até 2,00 + chaminé 1,00 m</t>
  </si>
  <si>
    <t>ENSAIOS (%)</t>
  </si>
  <si>
    <t>Dissipador de Energia c/Pedra de Mão tubo ø 1,00</t>
  </si>
  <si>
    <t>Dissipador de Energia c/Pedra de Mão tubo ø 1,20</t>
  </si>
  <si>
    <t>Dissipador de Energia c/Pedra de Mão tubo ø 1,50</t>
  </si>
  <si>
    <t>Pedra Argamassada m3</t>
  </si>
  <si>
    <t>CICLÓP 11
mpa m3</t>
  </si>
  <si>
    <t>transporte</t>
  </si>
  <si>
    <t>534908A</t>
  </si>
  <si>
    <t>534908B</t>
  </si>
  <si>
    <t>534908C</t>
  </si>
  <si>
    <t>534906C</t>
  </si>
  <si>
    <t>ORÇAMENTO COMPARATIVO DE PAVIMENTAÇÃO PELA TABELA</t>
  </si>
  <si>
    <t>x</t>
  </si>
  <si>
    <t>ESCRITÓRIO REGIONAL</t>
  </si>
  <si>
    <t>DESCRIÇÃO DOS SERVIÇOS</t>
  </si>
  <si>
    <t>km</t>
  </si>
  <si>
    <t>( ton )</t>
  </si>
  <si>
    <t>UD</t>
  </si>
  <si>
    <t>PLANILHA DE SERVIÇOS   -   PAVIMENTAÇÃO</t>
  </si>
  <si>
    <t>PAVIMENAÇÃO</t>
  </si>
  <si>
    <t>( R$ ) - PM
TOTAIS</t>
  </si>
  <si>
    <t>Município:</t>
  </si>
  <si>
    <t xml:space="preserve">SAM  </t>
  </si>
  <si>
    <t xml:space="preserve">LOTE nº </t>
  </si>
  <si>
    <t>LOTE</t>
  </si>
  <si>
    <t>SERVIÇOS EXTRAS - TERRAPLENAGEM</t>
  </si>
  <si>
    <t/>
  </si>
  <si>
    <t>5</t>
  </si>
  <si>
    <t>2</t>
  </si>
  <si>
    <t>Regularização compac.subleito S.A.F. 100% PI</t>
  </si>
  <si>
    <t>Desmatamento e limpeza diam. até 30cm</t>
  </si>
  <si>
    <t>Destocamento árvores diam. &gt; 30cm</t>
  </si>
  <si>
    <t>Remoção de Solos Moles - 2 km</t>
  </si>
  <si>
    <t>Remoção da Camada Superficial</t>
  </si>
  <si>
    <t>Compactação de Aterros - Controle Visual</t>
  </si>
  <si>
    <t>Compactação de Aterros 95% P.N.</t>
  </si>
  <si>
    <t>Compactação de Aterros 100% P.N.</t>
  </si>
  <si>
    <t>Colchão Drenante Areia Fund. Aterros</t>
  </si>
  <si>
    <t>Demolição de Concreto Símples</t>
  </si>
  <si>
    <t>Demolição de Concreto Armado</t>
  </si>
  <si>
    <t>Demolição Manual de Pavimento e Transporte</t>
  </si>
  <si>
    <t>Regularização do Subleito sem Compactação</t>
  </si>
  <si>
    <t>Regularização compac.subleito 100% PN</t>
  </si>
  <si>
    <t>Camada de bloqueio c/ pedra o &lt; 3/4"</t>
  </si>
  <si>
    <t>Regularização e Compactação p/ assentamento de calçadas/lajotas/blocos</t>
  </si>
  <si>
    <t>DER</t>
  </si>
  <si>
    <t>3</t>
  </si>
  <si>
    <t>Solo estabilizado 2ª categoria</t>
  </si>
  <si>
    <t>Revestimento Primário</t>
  </si>
  <si>
    <t>Cascalhamento</t>
  </si>
  <si>
    <t>Solo Arenoso Fino (base) 100% PI</t>
  </si>
  <si>
    <t>Cimento</t>
  </si>
  <si>
    <t>Solo (Solo Cimento )</t>
  </si>
  <si>
    <t>Massa (Solo Cimento )</t>
  </si>
  <si>
    <t>Bica Corrida</t>
  </si>
  <si>
    <t>Brita Graduada</t>
  </si>
  <si>
    <t>Macadame Seco c/ Bica Corrida</t>
  </si>
  <si>
    <t>Rachão</t>
  </si>
  <si>
    <t>Bica corrida</t>
  </si>
  <si>
    <t>Macadame Seco c/ Brita Graduada</t>
  </si>
  <si>
    <t>Macadame Hidráulico</t>
  </si>
  <si>
    <t>Brita graduada tratada c/cimento (Cp=4%) 100% PI</t>
  </si>
  <si>
    <t>Pedra britada (Usina de solos)</t>
  </si>
  <si>
    <t>Massa (Brita Graduada )</t>
  </si>
  <si>
    <t>4</t>
  </si>
  <si>
    <t>SERVIÇOS EXTRAS - REVESTIMENTO</t>
  </si>
  <si>
    <t>6</t>
  </si>
  <si>
    <t>Rachão s/ britagem</t>
  </si>
  <si>
    <t>534906D</t>
  </si>
  <si>
    <t>534906E</t>
  </si>
  <si>
    <t>534906F</t>
  </si>
  <si>
    <t>534908D</t>
  </si>
  <si>
    <t>534908E</t>
  </si>
  <si>
    <t>534908F</t>
  </si>
  <si>
    <t>SERVIÇOS EXTRAS - MEIO-FIO E SARJETA</t>
  </si>
  <si>
    <t>Bica Corrida - Passeio</t>
  </si>
  <si>
    <t>Limpeza e Lavagem da pista ( Recape )</t>
  </si>
  <si>
    <t>Pedra Irregular - sem colchão</t>
  </si>
  <si>
    <t>Cordão Lateral p/ Pedras Irregulares</t>
  </si>
  <si>
    <t>Retirada e Reassentamento de Pedras Irregulares</t>
  </si>
  <si>
    <t>Paralelepípedos Regulares</t>
  </si>
  <si>
    <t>Lajotas de Concreto e=4cm - sem colchão</t>
  </si>
  <si>
    <t>Lajotas de Concreto e=5cm - sem colchão</t>
  </si>
  <si>
    <t>Lajotas de Concreto e=6cm - sem colchão</t>
  </si>
  <si>
    <t>Lajotas de Concreto e=7cm - sem colchão</t>
  </si>
  <si>
    <t>Lajotas de Concreto e=8cm - sem colchão</t>
  </si>
  <si>
    <t>Lajotas de Concreto e=10cm - sem colchão</t>
  </si>
  <si>
    <t>Areia</t>
  </si>
  <si>
    <t>Cal Hidratada CH-1</t>
  </si>
  <si>
    <t>Pó de Pedra</t>
  </si>
  <si>
    <t>Trat.Sup. Símples c/ Emulsão ( Curitiba )</t>
  </si>
  <si>
    <t>Brita</t>
  </si>
  <si>
    <t>TSD com Capa Selante - Tipo I-1</t>
  </si>
  <si>
    <t>TSD com Capa Selante Tipo - I-2</t>
  </si>
  <si>
    <t>TSD com Capa Selante - Tipo I-3</t>
  </si>
  <si>
    <t>Trat.Sup.Tríplo ( TST ) Tipo I-4</t>
  </si>
  <si>
    <t>Trat.Sup.Tríplo ( TST ) Tipo I-5</t>
  </si>
  <si>
    <t>Trat.Sup.Tríplo ( TST ) Tipo I-6</t>
  </si>
  <si>
    <t>Macadame Betuminoso c/ Emulsão RR-2C</t>
  </si>
  <si>
    <t>Macadame Betuminoso c/ CAP</t>
  </si>
  <si>
    <t>Capa Selante</t>
  </si>
  <si>
    <t>Brita ( usina )</t>
  </si>
  <si>
    <t>Massa</t>
  </si>
  <si>
    <t>CBUQ c/ asfalto modificado p/ polímero SBS(60/85)</t>
  </si>
  <si>
    <t>Frezagem Contínua a Frio</t>
  </si>
  <si>
    <t>Frezagem Descontínua a Frio</t>
  </si>
  <si>
    <t>Meio-Fio com Sarjeta DER - Tipo 1 - (0,103 m3) - Moldado "in loco"</t>
  </si>
  <si>
    <t>Meio-Fio com Sarjeta DER - Tipo 1 - (0,103 m3) - Pré-Moldado</t>
  </si>
  <si>
    <t>Meio-Fio com Sarjeta DER - Tipo 2 - (0,042 m3) - Moldado "in loco"</t>
  </si>
  <si>
    <t>Meio-Fio com Sarjeta DER - Tipo 2 - (0,042 m3) - Pré-Moldado</t>
  </si>
  <si>
    <t>Meio-Fio c/Sarjeta (rebaixado) DER-Tipo 7-(0,031 m3) - Moldado "in loco"</t>
  </si>
  <si>
    <t>Meio-Fio Símples DER - Tipo 3 - (0,034 m3) - Moldado "in loco"</t>
  </si>
  <si>
    <t>Demolição de Concreto Símples (calçadas e outros)</t>
  </si>
  <si>
    <t>Lastro de Concreto Simples (calçadas e outros)</t>
  </si>
  <si>
    <t>Apiloamento Manual (calçadas e outros)</t>
  </si>
  <si>
    <t>Formas de madeira compensada resinada</t>
  </si>
  <si>
    <t>Aço CA-50 Dobr. e Colocação</t>
  </si>
  <si>
    <t>Aço CA-60 Dobr. e Colocação</t>
  </si>
  <si>
    <t>Calçada Concreto ( e = 5,00 cm )</t>
  </si>
  <si>
    <t>Remoção e recolocação de cercas de arame</t>
  </si>
  <si>
    <t>Construção de Cerca 4 fios c/ mourões de concreto</t>
  </si>
  <si>
    <t>Construção de Cerca 4 fios c/ mourões de madeira</t>
  </si>
  <si>
    <t>Defensa simples semi-maleável c/ espaçador e calço</t>
  </si>
  <si>
    <t>Regularização e Compactação SAF- 100% PI - Passeio com Pavimento</t>
  </si>
  <si>
    <t>Regularização e Compactação 100% PN - Passeio com Pavimento</t>
  </si>
  <si>
    <t>Aterro c/ mat. do canteiro (escav 1ª CAT+transp+compact) - Passeio</t>
  </si>
  <si>
    <t>Aterro c/ mat. de jazida (escav 1ª CAT+transp+compact) - Passeio</t>
  </si>
  <si>
    <t>Solo estabilizado 2ª categoria - Passeio</t>
  </si>
  <si>
    <t>Brita Graduada - Passeio</t>
  </si>
  <si>
    <t>Pedra Irregular - sem colchão - Passeio</t>
  </si>
  <si>
    <t>Cordão Lateral p/ Pedras Irregulares - Passeio</t>
  </si>
  <si>
    <t>Retirada de Pedras Irregulares - Passeio</t>
  </si>
  <si>
    <t>Retirada e Reassentamento de Pedras Irregulares - Passeio</t>
  </si>
  <si>
    <t>Limpeza e pintura de abrigo de ônibus</t>
  </si>
  <si>
    <t>Abrigo em parada de ônibus</t>
  </si>
  <si>
    <t>FAIXA ELEVADA PNE c/ Piso Tátil (NBR 9050) - Modelo 01 - ORÇAR</t>
  </si>
  <si>
    <t>Rampa para PNE com Piso Tátil (NBR 9050) - Modelo 02 - 5,94 m2</t>
  </si>
  <si>
    <t>Rampa para PNE com Piso Tátil (NBR 9050) - Modelo 03 - 5,94 m2</t>
  </si>
  <si>
    <t>Rampa para PNE com Piso Tátil (NBR 9050) - Modelo 04 - 5,94 m2</t>
  </si>
  <si>
    <t>Rampa para PNE com Piso Tátil (NBR 9050) - Modelo 05 - 7,80 m2</t>
  </si>
  <si>
    <t>Rampa para PNE com Piso Tátil (NBR 9050) - Modelo 06 - 7,65 m2</t>
  </si>
  <si>
    <t>Placa sinalização refletiva - SEM SUPORTE</t>
  </si>
  <si>
    <t>Suporte de madeira 3"x3" p/ placa sinalização</t>
  </si>
  <si>
    <t>Suporte metál.galv.fogo d=2,5" c/tampa e aletas anti-giro h=3,00m</t>
  </si>
  <si>
    <t>Placa sinalização refletiva-círculo (0,1964 m2/ud) + suporte MADEIRA</t>
  </si>
  <si>
    <t>Placa sinalização refletiva-triângulo (0,1219 m2/ud) + suporte MADEIRA</t>
  </si>
  <si>
    <t>Placa sinalização refletiva-octógono (0,2160 m2/ud) + suporte MADEIRA</t>
  </si>
  <si>
    <t>Placa sinalização refletiva-losango (0,2025 m2/ud) + suporte MADEIRA</t>
  </si>
  <si>
    <t>Placa sinalização refletiva-círculo (0,1964 m2/ud) + suporte METÁLICO</t>
  </si>
  <si>
    <t>Placa sinalização refletiva-triângulo (0,1219 m2/ud) + suporte METÁLICO</t>
  </si>
  <si>
    <t>Placa sinalização refletiva-octógono (0,2160 m2/ud) + suporte METÁLICO</t>
  </si>
  <si>
    <t>Placa sinalização refletiva-losango (0,2025 m2/ud) + suporte METÁLICO</t>
  </si>
  <si>
    <t>ORÇAR</t>
  </si>
  <si>
    <t>820000A</t>
  </si>
  <si>
    <t>820000B</t>
  </si>
  <si>
    <t>820000C</t>
  </si>
  <si>
    <t>820000D</t>
  </si>
  <si>
    <t>820000E</t>
  </si>
  <si>
    <t>820000F</t>
  </si>
  <si>
    <t>820000G</t>
  </si>
  <si>
    <t>820000H</t>
  </si>
  <si>
    <t>8</t>
  </si>
  <si>
    <t>Escavação Manual de Valas</t>
  </si>
  <si>
    <t>Escavação de Bueiros em 1ª Categoria</t>
  </si>
  <si>
    <t>Escavação de Bueiros em 2ª Categoria</t>
  </si>
  <si>
    <t>Escavação de Bueiros em 3ª Categoria</t>
  </si>
  <si>
    <t>Remoção de bueiro 0,30m</t>
  </si>
  <si>
    <t>Remoção de bueiro 0,40m</t>
  </si>
  <si>
    <t>Remoção de bueiro 0,50m</t>
  </si>
  <si>
    <t>Remoção de bueiro 0,60m</t>
  </si>
  <si>
    <t>Remoção de bueiro 0,80m</t>
  </si>
  <si>
    <t>Remoção de bueiro 1,00m</t>
  </si>
  <si>
    <t>Remoção de bueiro 1,20m</t>
  </si>
  <si>
    <t>Remoção de bueiro 1,50m</t>
  </si>
  <si>
    <t>Gabião</t>
  </si>
  <si>
    <t>Apiloamento Manual</t>
  </si>
  <si>
    <t>Reaterro Sem Apiloamento</t>
  </si>
  <si>
    <t>Alvenaria de Pedra de Mão Argamassada</t>
  </si>
  <si>
    <t>Enrocamento pedra de mão arrumada</t>
  </si>
  <si>
    <t>Enrocamento pedra de mão jogada</t>
  </si>
  <si>
    <t>Lastro de Areia</t>
  </si>
  <si>
    <t>Lastro de Brita</t>
  </si>
  <si>
    <t>Alvenaria de Tijolos Maciços</t>
  </si>
  <si>
    <t>Alvenaria de Tijolos 6 Furos</t>
  </si>
  <si>
    <t>Argamassa Cimento e Areia 1:3</t>
  </si>
  <si>
    <t>Argamassa Cimento e Areia 1:4</t>
  </si>
  <si>
    <t>Dreno profundo em solo - tipo 1</t>
  </si>
  <si>
    <t>Tubo</t>
  </si>
  <si>
    <t>Concreto Magro</t>
  </si>
  <si>
    <t>Concreto Ciclópico 11 Mpa (37% de Pedra de Mão)</t>
  </si>
  <si>
    <t>Brita + Pedra de Mão</t>
  </si>
  <si>
    <t>Concreto Símples Fck = 11 Mpa</t>
  </si>
  <si>
    <t>Concreto Estrutural Fck = 15 Mpa</t>
  </si>
  <si>
    <t>Concreto Fck = 18 Mpa</t>
  </si>
  <si>
    <t>Boca (Ala) de BSTC ø 0,40 m</t>
  </si>
  <si>
    <t>Boca (Ala) de BSTC ø 0,60 m</t>
  </si>
  <si>
    <t>Boca (Ala) de BSTC ø 0,80 m</t>
  </si>
  <si>
    <t>Boca (Ala) de BSTC ø 1,00 m</t>
  </si>
  <si>
    <t>Boca (Ala) de BSTC ø 1,20 m</t>
  </si>
  <si>
    <t>Boca (Ala) de BSTC ø 1,50 m</t>
  </si>
  <si>
    <t>Boca (Ala) de BSTC ø 2,00 m</t>
  </si>
  <si>
    <t>Boca (Ala) de BDTC ø 0,60 m</t>
  </si>
  <si>
    <t>Boca (Ala) de BDTC ø 0,80 m</t>
  </si>
  <si>
    <t>Boca (Ala) de BDTC ø 1,00 m</t>
  </si>
  <si>
    <t>Boca (Ala) de BDTC ø 1,20 m</t>
  </si>
  <si>
    <t>Boca (Ala) de BDTC ø 1,50 m</t>
  </si>
  <si>
    <t>Boca (Ala) de BDTC ø 2,00 m</t>
  </si>
  <si>
    <t>Boca (Ala) de BTTC ø 0,60 m</t>
  </si>
  <si>
    <t>Boca (Ala) de BTTC ø 0,80 m</t>
  </si>
  <si>
    <t>Boca (Ala) de BTTC ø 1,00 m</t>
  </si>
  <si>
    <t>Boca (Ala) de BTTC ø 1,20 m</t>
  </si>
  <si>
    <t>Boca (Ala) de BTTC ø 1,50 m</t>
  </si>
  <si>
    <t>Boca (Ala) de BTTC ø 2,00 m</t>
  </si>
  <si>
    <t>Corpo de BSTC ø 0,40 sem Berço e sem Armação</t>
  </si>
  <si>
    <t>Corpo de BSTC ø 0,60 sem Berço e sem Armação</t>
  </si>
  <si>
    <t>Corpo de BSTC ø 0,80 sem Berço e sem Armação</t>
  </si>
  <si>
    <t>Corpo de BSTC ø 0,40 Sem Berço c/ Armação Símples CA-1</t>
  </si>
  <si>
    <t>Corpo de BSTC ø 0,60 Sem Berço c/ Armação Símples CA-1</t>
  </si>
  <si>
    <t>Corpo de BSTC ø 0,80 Sem Berço c/ Armação Símples CA-1</t>
  </si>
  <si>
    <t>Corpo de BSTC ø 1,00 Sem Berço c/ Armação Símples CA-1</t>
  </si>
  <si>
    <t>Corpo de BSTC ø 1,20 Sem Berço c/ Armação Símples CA-1</t>
  </si>
  <si>
    <t>Corpo de BSTC ø 1,50 Sem Berço c/ Armação Símples CA-1</t>
  </si>
  <si>
    <t>Corpo de BSTC ø 1,80 Sem Berço c/ Armação Símples CA-1</t>
  </si>
  <si>
    <t>Corpo de BSTC ø 2,00 Sem Berço c/ Armação Símples CA-1</t>
  </si>
  <si>
    <t>Corpo de BSTC ø 0,40 Sem Berço c/ Armação Dupla CA-2</t>
  </si>
  <si>
    <t>Corpo de BSTC ø 0,60 Sem Berço c/ Armação Dupla CA-2</t>
  </si>
  <si>
    <t>Corpo de BSTC ø 0,80 Sem Berço c/ Armação Dupla CA-2</t>
  </si>
  <si>
    <t>Corpo de BSTC ø 1,00 Sem Berço c/ Armação Dupla CA-2</t>
  </si>
  <si>
    <t>Corpo de BSTC ø 1,20 Sem Berço c/ Armação Dupla CA-2</t>
  </si>
  <si>
    <t>Corpo de BSTC ø 1,50 Sem Berço c/ Armação Dupla CA-2</t>
  </si>
  <si>
    <t>Corpo de BSTC ø 1,80 Sem Berço c/ Armação Dupla CA-2</t>
  </si>
  <si>
    <t>Corpo de BSTC ø 2,00 Sem Berço c/ Armação Dupla CA-2</t>
  </si>
  <si>
    <t>Corpo de BSTC ø 0,40 Com Berço c/ Armação Dupla CA-2</t>
  </si>
  <si>
    <t>Corpo de BSTC ø 0,60 Com Berço c/ Armação Dupla CA-2</t>
  </si>
  <si>
    <t>Corpo de BSTC ø 0,80 Com Berço c/ Armação Dupla CA-2</t>
  </si>
  <si>
    <t>Corpo de BSTC ø 1,00 Com Berço c/ Armação Dupla CA-2</t>
  </si>
  <si>
    <t>Corpo de BSTC ø 1,20 Com Berço c/ Armação Dupla CA-2</t>
  </si>
  <si>
    <t>Corpo de BSTC ø 1,50 Com Berço c/ Armação Dupla CA-2</t>
  </si>
  <si>
    <t>Corpo de BSTC ø 1,80 Com Berço c/ Armação Dupla CA-2</t>
  </si>
  <si>
    <t>Corpo de BSTC ø 2,00 Com Berço c/ Armação Dupla CA-2</t>
  </si>
  <si>
    <t>Tijolo</t>
  </si>
  <si>
    <t>Cal</t>
  </si>
  <si>
    <t>B.L. Símples pré-moldado H até 1,20 m</t>
  </si>
  <si>
    <t>B.L. Símples pré-moldado H até 1,50 m</t>
  </si>
  <si>
    <t>B.L. Símples pré-moldado H até 2,00 m</t>
  </si>
  <si>
    <t>B.L. Símples pré-moldado H até 2,50 m</t>
  </si>
  <si>
    <t>B.L. Dupla Pré-moldado H até 1,20 m</t>
  </si>
  <si>
    <t>B.L. Dupla Pré-moldado H até 1,50 m</t>
  </si>
  <si>
    <t>B.L. Dupla Pré-moldado H até 2,00 m</t>
  </si>
  <si>
    <t>B.L. Dupla Pré-moldado H até 2,50 m</t>
  </si>
  <si>
    <t>C.L. pré-moldado Tubo até 0,40</t>
  </si>
  <si>
    <t>C.L. pré-moldado Tubo até 0,60</t>
  </si>
  <si>
    <t>C.L. pré-moldado Tubo até 0,80</t>
  </si>
  <si>
    <t>C.L. pré-moldado Tubo até 1,00</t>
  </si>
  <si>
    <t>C.L. pré-moldado Tubo até 1,20</t>
  </si>
  <si>
    <t>C.L. concreto armado Tubo até 0,40</t>
  </si>
  <si>
    <t>C.L. concreto armado Tubo até 0,60</t>
  </si>
  <si>
    <t>C.L. concreto armado Tubo até 0,80</t>
  </si>
  <si>
    <t>C.L. concreto armado Tubo até 1,00</t>
  </si>
  <si>
    <t>C.L. concreto armado Tubo até 1,20</t>
  </si>
  <si>
    <t>C.L. concreto armado Tubo até 1,50</t>
  </si>
  <si>
    <t>C.L. concreto armado Tubo até 2,00</t>
  </si>
  <si>
    <t>Viga de Apoio em concreto marmado Tubo 0,80</t>
  </si>
  <si>
    <t>Viga de Apoio em concreto marmado Tubo 1,00</t>
  </si>
  <si>
    <t>Viga de Apoio em concreto marmado Tubo 1,20</t>
  </si>
  <si>
    <t>Dissipador de Energia c/Pedra de Mão tubo ø 0, 40</t>
  </si>
  <si>
    <t>Dissipador de Energia c/Pedra de Mão tubo ø 0, 60</t>
  </si>
  <si>
    <t>Dissipador de Energia c/Pedra de Mão tubo ø 0, 80</t>
  </si>
  <si>
    <t>EEEE001</t>
  </si>
  <si>
    <t>EEEE002</t>
  </si>
  <si>
    <t>EEEE003</t>
  </si>
  <si>
    <t>EEEE004</t>
  </si>
  <si>
    <t>EEEE005</t>
  </si>
  <si>
    <t>EEEE006</t>
  </si>
  <si>
    <t>EEEE007</t>
  </si>
  <si>
    <t>EEEE008</t>
  </si>
  <si>
    <t>EEEE009</t>
  </si>
  <si>
    <t>EEEE010</t>
  </si>
  <si>
    <t>ENSAIO DE ORÇAMENTO 1</t>
  </si>
  <si>
    <t>ENSAIO DE ORÇAMENTO 2</t>
  </si>
  <si>
    <t>ENSAIO DE ORÇAMENTO 3</t>
  </si>
  <si>
    <t>ENSAIO DE ORÇAMENTO 4</t>
  </si>
  <si>
    <t>ENSAIO DE ORÇAMENTO 5</t>
  </si>
  <si>
    <t>ENSAIO DE ORÇAMENTO 6</t>
  </si>
  <si>
    <t>ENSAIO DE ORÇAMENTO 7</t>
  </si>
  <si>
    <t>ENSAIO DE ORÇAMENTO 8</t>
  </si>
  <si>
    <t>ENSAIO DE ORÇAMENTO 9</t>
  </si>
  <si>
    <t>ENSAIO DE ORÇAMENTO 10</t>
  </si>
  <si>
    <t>SERVIÇOS EXTRAS - DRENAGEM</t>
  </si>
  <si>
    <t>ÁREA INICIAL</t>
  </si>
  <si>
    <t>CONFERÊNCIA</t>
  </si>
  <si>
    <t>Código</t>
  </si>
  <si>
    <t>IMPRIMIR</t>
  </si>
  <si>
    <t>ITENS</t>
  </si>
  <si>
    <t>7</t>
  </si>
  <si>
    <t>Cartilha</t>
  </si>
  <si>
    <r>
      <t xml:space="preserve">Solo Cimento(Pista) - </t>
    </r>
    <r>
      <rPr>
        <b/>
        <sz val="10"/>
        <rFont val="Arial"/>
        <family val="2"/>
      </rPr>
      <t>2%</t>
    </r>
  </si>
  <si>
    <r>
      <t xml:space="preserve">Solo Cimento(Pista) - </t>
    </r>
    <r>
      <rPr>
        <b/>
        <sz val="10"/>
        <rFont val="Arial"/>
        <family val="2"/>
      </rPr>
      <t>3%</t>
    </r>
  </si>
  <si>
    <r>
      <t xml:space="preserve">Solo Cimento(Pista) - </t>
    </r>
    <r>
      <rPr>
        <b/>
        <sz val="10"/>
        <rFont val="Arial"/>
        <family val="2"/>
      </rPr>
      <t>4%</t>
    </r>
  </si>
  <si>
    <r>
      <t xml:space="preserve">Solo Cimento(Pista) - </t>
    </r>
    <r>
      <rPr>
        <b/>
        <sz val="10"/>
        <rFont val="Arial"/>
        <family val="2"/>
      </rPr>
      <t>5%</t>
    </r>
  </si>
  <si>
    <r>
      <t xml:space="preserve">Solo Cimento(Pista) - </t>
    </r>
    <r>
      <rPr>
        <b/>
        <sz val="10"/>
        <rFont val="Arial"/>
        <family val="2"/>
      </rPr>
      <t>6%</t>
    </r>
  </si>
  <si>
    <r>
      <t xml:space="preserve">Solo Cimento(Usina) - </t>
    </r>
    <r>
      <rPr>
        <b/>
        <sz val="10"/>
        <rFont val="Arial"/>
        <family val="2"/>
      </rPr>
      <t>2%</t>
    </r>
  </si>
  <si>
    <r>
      <t xml:space="preserve">Solo Cimento(Usina) - </t>
    </r>
    <r>
      <rPr>
        <b/>
        <sz val="10"/>
        <rFont val="Arial"/>
        <family val="2"/>
      </rPr>
      <t>3%</t>
    </r>
  </si>
  <si>
    <r>
      <t xml:space="preserve">Solo Cimento(Usina) - </t>
    </r>
    <r>
      <rPr>
        <b/>
        <sz val="10"/>
        <rFont val="Arial"/>
        <family val="2"/>
      </rPr>
      <t>4%</t>
    </r>
  </si>
  <si>
    <r>
      <t xml:space="preserve">Solo Cimento(Usina) - </t>
    </r>
    <r>
      <rPr>
        <b/>
        <sz val="10"/>
        <rFont val="Arial"/>
        <family val="2"/>
      </rPr>
      <t>5%</t>
    </r>
  </si>
  <si>
    <r>
      <t xml:space="preserve">Solo Cimento(Usina) - </t>
    </r>
    <r>
      <rPr>
        <b/>
        <sz val="10"/>
        <rFont val="Arial"/>
        <family val="2"/>
      </rPr>
      <t>6%</t>
    </r>
  </si>
  <si>
    <t>cartilha</t>
  </si>
  <si>
    <t>Anexo</t>
  </si>
  <si>
    <t>Quantidade
(projeto)</t>
  </si>
  <si>
    <t>Unid</t>
  </si>
  <si>
    <t>COPEL</t>
  </si>
  <si>
    <t>TERRAPLENAGEM</t>
  </si>
  <si>
    <t>REVESTIMENTO</t>
  </si>
  <si>
    <t>MEIO-FIO E SARJETA</t>
  </si>
  <si>
    <t>DRENAGEM</t>
  </si>
  <si>
    <t>SERVIÇOS PRELIMINARES</t>
  </si>
  <si>
    <t>SERVIÇOS EXTRAS - SERVIÇOS PRELIMINARES</t>
  </si>
  <si>
    <t>BASE / SUB-BASE</t>
  </si>
  <si>
    <t>SERVIÇOS EXTRAS - BASE / SUB-BASE</t>
  </si>
  <si>
    <t>PAISAGISMO / URBANISMO</t>
  </si>
  <si>
    <t>SINALIZAÇÃO DE TRÂNSITO</t>
  </si>
  <si>
    <t>SERVIÇOS EXTRAS - SINALIZAÇÃO DE TRÂNSITO</t>
  </si>
  <si>
    <t>ILUMINAÇÃO PÚBLICA</t>
  </si>
  <si>
    <t>9</t>
  </si>
  <si>
    <t>SERVIÇOS DIVERSOS</t>
  </si>
  <si>
    <t>10</t>
  </si>
  <si>
    <t>Limpeza de bueiro</t>
  </si>
  <si>
    <t>Limpeza e lavagem de sinalização vertical</t>
  </si>
  <si>
    <t>Limpeza e pintura de meio fio</t>
  </si>
  <si>
    <t>Remoção de cercas</t>
  </si>
  <si>
    <t>Escarificação e remoção revestimento primário</t>
  </si>
  <si>
    <t>Escarificação e conformação do subleito</t>
  </si>
  <si>
    <t>Escarificação da base</t>
  </si>
  <si>
    <t>Refôrço do Subleito c/ mat. de 1ª Cat (solos-argila e assemelhados)</t>
  </si>
  <si>
    <t>Refôrço do Subleito c/ mat. de 2ª Cat (saibro-moledo-cascalho)</t>
  </si>
  <si>
    <t>Brita 4A</t>
  </si>
  <si>
    <t>PM curitiba</t>
  </si>
  <si>
    <t>Retirada de Pedras Irregulares</t>
  </si>
  <si>
    <t>810250A</t>
  </si>
  <si>
    <t>810250B</t>
  </si>
  <si>
    <t>Fincadinha de concreto - (9x19x39cm-0,0171m3/m)</t>
  </si>
  <si>
    <t>810250C</t>
  </si>
  <si>
    <t>Fincadinha de concreto moldada in loco- (7x20cm-0,014m3/m)</t>
  </si>
  <si>
    <t>Fincadinha de Granito - (8x15cm-0,012m3/m)</t>
  </si>
  <si>
    <t>Refôrço do Subleito c/ mat. de 2ª Cat (saibro-moledo-cascalho) passeio</t>
  </si>
  <si>
    <t>Brita 4A - passeio</t>
  </si>
  <si>
    <t>Plantio de Grama em placas</t>
  </si>
  <si>
    <t>Plantio de Grama em mudas</t>
  </si>
  <si>
    <t xml:space="preserve">Faixa de Sinalização Horizontal c/tinta resina acrílica base solvente- (0,034 m2/m2) </t>
  </si>
  <si>
    <t>Tacha refletiva bidirecional</t>
  </si>
  <si>
    <t>Tacha refletiva monodirecional</t>
  </si>
  <si>
    <t>Tachão refletivo bidirecional</t>
  </si>
  <si>
    <t>Tachão refletivo monodirecional</t>
  </si>
  <si>
    <t>Demolição de Alvenaria</t>
  </si>
  <si>
    <t>IMPOSTOS</t>
  </si>
  <si>
    <t>TOTAL</t>
  </si>
  <si>
    <t>LUCRO</t>
  </si>
  <si>
    <t>PREÇO GLOBAL</t>
  </si>
  <si>
    <t>Corpo de BSTC ø 0,20 sem Berço e sem Armação</t>
  </si>
  <si>
    <t>Corpo de BSTC ø 0,30 sem Berço e sem Armação</t>
  </si>
  <si>
    <t>Corpo de BSTC ø 0,50 sem Berço e sem Armação</t>
  </si>
  <si>
    <t>Corpo de BSTC ø 0,70 sem Berço e sem Armação</t>
  </si>
  <si>
    <t>Locação direta de estruras em ramais de RDR</t>
  </si>
  <si>
    <t>Locação de estrutura em rede distribuição rural</t>
  </si>
  <si>
    <t>Locação de estrutura em rede distribuição urbana</t>
  </si>
  <si>
    <t>742A</t>
  </si>
  <si>
    <t>743A</t>
  </si>
  <si>
    <t>744A</t>
  </si>
  <si>
    <t>745A</t>
  </si>
  <si>
    <t>746A</t>
  </si>
  <si>
    <t>747A</t>
  </si>
  <si>
    <t>748A</t>
  </si>
  <si>
    <t>759A</t>
  </si>
  <si>
    <t>751A</t>
  </si>
  <si>
    <t>752A</t>
  </si>
  <si>
    <t>753A</t>
  </si>
  <si>
    <t>755A</t>
  </si>
  <si>
    <t>756A</t>
  </si>
  <si>
    <t>757A</t>
  </si>
  <si>
    <r>
      <rPr>
        <b/>
        <sz val="10"/>
        <rFont val="Arial"/>
        <family val="2"/>
      </rPr>
      <t>Retirada</t>
    </r>
    <r>
      <rPr>
        <sz val="10"/>
        <rFont val="Arial"/>
        <family val="2"/>
      </rPr>
      <t xml:space="preserve"> de Cadeia de isoladores de disco</t>
    </r>
  </si>
  <si>
    <r>
      <rPr>
        <b/>
        <sz val="10"/>
        <rFont val="Arial"/>
        <family val="2"/>
      </rPr>
      <t>Retirada</t>
    </r>
    <r>
      <rPr>
        <sz val="10"/>
        <rFont val="Arial"/>
        <family val="2"/>
      </rPr>
      <t xml:space="preserve"> de Cruzeta símples sem isoladores</t>
    </r>
  </si>
  <si>
    <r>
      <rPr>
        <b/>
        <sz val="10"/>
        <rFont val="Arial"/>
        <family val="2"/>
      </rPr>
      <t>Retirada</t>
    </r>
    <r>
      <rPr>
        <sz val="10"/>
        <rFont val="Arial"/>
        <family val="2"/>
      </rPr>
      <t xml:space="preserve"> de Cruzeta dupla sem isoladores</t>
    </r>
  </si>
  <si>
    <r>
      <rPr>
        <b/>
        <sz val="10"/>
        <rFont val="Arial"/>
        <family val="2"/>
      </rPr>
      <t>Retirada</t>
    </r>
    <r>
      <rPr>
        <sz val="10"/>
        <rFont val="Arial"/>
        <family val="2"/>
      </rPr>
      <t xml:space="preserve"> de isolador de pino</t>
    </r>
  </si>
  <si>
    <r>
      <rPr>
        <b/>
        <sz val="10"/>
        <rFont val="Arial"/>
        <family val="2"/>
      </rPr>
      <t>Retirada</t>
    </r>
    <r>
      <rPr>
        <sz val="10"/>
        <rFont val="Arial"/>
        <family val="2"/>
      </rPr>
      <t xml:space="preserve"> de suporte T para fixação de chaves ou pára-raios</t>
    </r>
  </si>
  <si>
    <r>
      <rPr>
        <b/>
        <sz val="10"/>
        <rFont val="Arial"/>
        <family val="2"/>
      </rPr>
      <t>Retirada</t>
    </r>
    <r>
      <rPr>
        <sz val="10"/>
        <rFont val="Arial"/>
        <family val="2"/>
      </rPr>
      <t xml:space="preserve"> de Suporte ou afastador para isolador pilar</t>
    </r>
  </si>
  <si>
    <t>770A</t>
  </si>
  <si>
    <t>771A</t>
  </si>
  <si>
    <t>772A</t>
  </si>
  <si>
    <r>
      <rPr>
        <b/>
        <sz val="10"/>
        <rFont val="Arial"/>
        <family val="2"/>
      </rPr>
      <t>MONTAGEM</t>
    </r>
    <r>
      <rPr>
        <sz val="10"/>
        <rFont val="Arial"/>
        <family val="2"/>
      </rPr>
      <t xml:space="preserve"> de estai de âncora simples ou reforçado para AT ou BT</t>
    </r>
  </si>
  <si>
    <r>
      <rPr>
        <b/>
        <sz val="10"/>
        <rFont val="Arial"/>
        <family val="2"/>
      </rPr>
      <t>Retirada</t>
    </r>
    <r>
      <rPr>
        <sz val="10"/>
        <rFont val="Arial"/>
        <family val="2"/>
      </rPr>
      <t xml:space="preserve"> de estai de âncora simples ou reforçado para AT ou BT</t>
    </r>
  </si>
  <si>
    <r>
      <rPr>
        <b/>
        <sz val="10"/>
        <rFont val="Arial"/>
        <family val="2"/>
      </rPr>
      <t>MONTAGEM</t>
    </r>
    <r>
      <rPr>
        <sz val="10"/>
        <rFont val="Arial"/>
        <family val="2"/>
      </rPr>
      <t xml:space="preserve"> de estai de contraposte simples para AT ou BT</t>
    </r>
  </si>
  <si>
    <r>
      <rPr>
        <b/>
        <sz val="10"/>
        <rFont val="Arial"/>
        <family val="2"/>
      </rPr>
      <t>Retirada</t>
    </r>
    <r>
      <rPr>
        <sz val="10"/>
        <rFont val="Arial"/>
        <family val="2"/>
      </rPr>
      <t xml:space="preserve"> de estai de contraposte simples para AT ou BT</t>
    </r>
  </si>
  <si>
    <r>
      <rPr>
        <b/>
        <sz val="10"/>
        <rFont val="Arial"/>
        <family val="2"/>
      </rPr>
      <t>MONTAGEM</t>
    </r>
    <r>
      <rPr>
        <sz val="10"/>
        <rFont val="Arial"/>
        <family val="2"/>
      </rPr>
      <t xml:space="preserve"> de estai de poste a poste para AT ou BT</t>
    </r>
  </si>
  <si>
    <r>
      <rPr>
        <b/>
        <sz val="10"/>
        <rFont val="Arial"/>
        <family val="2"/>
      </rPr>
      <t>Retirada</t>
    </r>
    <r>
      <rPr>
        <sz val="10"/>
        <rFont val="Arial"/>
        <family val="2"/>
      </rPr>
      <t xml:space="preserve"> de estai de poste a poste para AT ou BT</t>
    </r>
  </si>
  <si>
    <r>
      <rPr>
        <b/>
        <sz val="10"/>
        <rFont val="Arial"/>
        <family val="2"/>
      </rPr>
      <t>MONTAGEM</t>
    </r>
    <r>
      <rPr>
        <sz val="10"/>
        <rFont val="Arial"/>
        <family val="2"/>
      </rPr>
      <t xml:space="preserve"> - cadeia de isoladores de disco</t>
    </r>
  </si>
  <si>
    <r>
      <rPr>
        <b/>
        <sz val="10"/>
        <rFont val="Arial"/>
        <family val="2"/>
      </rPr>
      <t>MONTAGEM</t>
    </r>
    <r>
      <rPr>
        <sz val="10"/>
        <rFont val="Arial"/>
        <family val="2"/>
      </rPr>
      <t xml:space="preserve"> - cruzeta símples sem isoladores</t>
    </r>
  </si>
  <si>
    <r>
      <rPr>
        <b/>
        <sz val="10"/>
        <rFont val="Arial"/>
        <family val="2"/>
      </rPr>
      <t>MONTAGEM</t>
    </r>
    <r>
      <rPr>
        <sz val="10"/>
        <rFont val="Arial"/>
        <family val="2"/>
      </rPr>
      <t xml:space="preserve"> de estai provisório durante o lançamento e tensionamento de cabos</t>
    </r>
  </si>
  <si>
    <r>
      <rPr>
        <b/>
        <sz val="10"/>
        <rFont val="Arial"/>
        <family val="2"/>
      </rPr>
      <t>MONTAGEM</t>
    </r>
    <r>
      <rPr>
        <sz val="10"/>
        <rFont val="Arial"/>
        <family val="2"/>
      </rPr>
      <t xml:space="preserve"> - cruzeta dupla sem isoladores</t>
    </r>
  </si>
  <si>
    <t>774A</t>
  </si>
  <si>
    <r>
      <rPr>
        <b/>
        <sz val="10"/>
        <rFont val="Arial"/>
        <family val="2"/>
      </rPr>
      <t>MONTAGEM</t>
    </r>
    <r>
      <rPr>
        <sz val="10"/>
        <rFont val="Arial"/>
        <family val="2"/>
      </rPr>
      <t xml:space="preserve"> de estai de âncora com haste cimentada na rocha</t>
    </r>
  </si>
  <si>
    <r>
      <rPr>
        <b/>
        <sz val="10"/>
        <rFont val="Arial"/>
        <family val="2"/>
      </rPr>
      <t>Retirada</t>
    </r>
    <r>
      <rPr>
        <sz val="10"/>
        <rFont val="Arial"/>
        <family val="2"/>
      </rPr>
      <t xml:space="preserve"> de estai de âncora com haste cimentada na rocha</t>
    </r>
  </si>
  <si>
    <t>776A</t>
  </si>
  <si>
    <t>862A</t>
  </si>
  <si>
    <t>875A</t>
  </si>
  <si>
    <r>
      <rPr>
        <b/>
        <sz val="10"/>
        <rFont val="Arial"/>
        <family val="2"/>
      </rPr>
      <t>MONTAGEM</t>
    </r>
    <r>
      <rPr>
        <sz val="10"/>
        <rFont val="Arial"/>
        <family val="2"/>
      </rPr>
      <t xml:space="preserve"> de dispositivo de segurança no estai</t>
    </r>
  </si>
  <si>
    <r>
      <rPr>
        <b/>
        <sz val="10"/>
        <rFont val="Arial"/>
        <family val="2"/>
      </rPr>
      <t>Retirada</t>
    </r>
    <r>
      <rPr>
        <sz val="10"/>
        <rFont val="Arial"/>
        <family val="2"/>
      </rPr>
      <t xml:space="preserve"> de dispositivo de segurança no estai</t>
    </r>
  </si>
  <si>
    <r>
      <rPr>
        <b/>
        <sz val="10"/>
        <rFont val="Arial"/>
        <family val="2"/>
      </rPr>
      <t>Retirada</t>
    </r>
    <r>
      <rPr>
        <sz val="10"/>
        <rFont val="Arial"/>
        <family val="2"/>
      </rPr>
      <t xml:space="preserve"> de concretagem</t>
    </r>
  </si>
  <si>
    <r>
      <t>MONTAGEM</t>
    </r>
    <r>
      <rPr>
        <sz val="10"/>
        <rFont val="Arial"/>
        <family val="2"/>
      </rPr>
      <t xml:space="preserve"> de sinalizador de estai de âncora</t>
    </r>
  </si>
  <si>
    <r>
      <t>Retirada</t>
    </r>
    <r>
      <rPr>
        <sz val="10"/>
        <rFont val="Arial"/>
        <family val="2"/>
      </rPr>
      <t xml:space="preserve"> de sinalizador de estai de âncora</t>
    </r>
  </si>
  <si>
    <t>947A</t>
  </si>
  <si>
    <r>
      <rPr>
        <b/>
        <sz val="10"/>
        <rFont val="Arial"/>
        <family val="2"/>
      </rPr>
      <t>Retirada</t>
    </r>
    <r>
      <rPr>
        <sz val="10"/>
        <rFont val="Arial"/>
        <family val="2"/>
      </rPr>
      <t xml:space="preserve"> de suporte l ou suporte afastador para rede antifurto</t>
    </r>
  </si>
  <si>
    <t>760A</t>
  </si>
  <si>
    <r>
      <rPr>
        <b/>
        <sz val="10"/>
        <rFont val="Arial"/>
        <family val="2"/>
      </rPr>
      <t>MONTAGEM</t>
    </r>
    <r>
      <rPr>
        <sz val="10"/>
        <rFont val="Arial"/>
        <family val="2"/>
      </rPr>
      <t xml:space="preserve"> - afastador de armação secundária</t>
    </r>
  </si>
  <si>
    <r>
      <rPr>
        <b/>
        <sz val="10"/>
        <rFont val="Arial"/>
        <family val="2"/>
      </rPr>
      <t>Retirada</t>
    </r>
    <r>
      <rPr>
        <sz val="10"/>
        <rFont val="Arial"/>
        <family val="2"/>
      </rPr>
      <t xml:space="preserve"> de afastador de armação secundária</t>
    </r>
  </si>
  <si>
    <t>761A</t>
  </si>
  <si>
    <r>
      <rPr>
        <b/>
        <sz val="10"/>
        <rFont val="Arial"/>
        <family val="2"/>
      </rPr>
      <t>MONTAGEM</t>
    </r>
    <r>
      <rPr>
        <sz val="10"/>
        <rFont val="Arial"/>
        <family val="2"/>
      </rPr>
      <t xml:space="preserve"> - armação secundária. de 1 estribo ou parafuso com olhal</t>
    </r>
  </si>
  <si>
    <t>762A</t>
  </si>
  <si>
    <r>
      <rPr>
        <b/>
        <sz val="10"/>
        <rFont val="Arial"/>
        <family val="2"/>
      </rPr>
      <t>MONTAGEM</t>
    </r>
    <r>
      <rPr>
        <sz val="10"/>
        <rFont val="Arial"/>
        <family val="2"/>
      </rPr>
      <t xml:space="preserve"> - armação secundária com mais de 1 estribo</t>
    </r>
  </si>
  <si>
    <r>
      <rPr>
        <b/>
        <sz val="10"/>
        <rFont val="Arial"/>
        <family val="2"/>
      </rPr>
      <t>Retirada</t>
    </r>
    <r>
      <rPr>
        <sz val="10"/>
        <rFont val="Arial"/>
        <family val="2"/>
      </rPr>
      <t xml:space="preserve"> de armação secundária com mais de 1 estribo</t>
    </r>
  </si>
  <si>
    <r>
      <rPr>
        <b/>
        <sz val="10"/>
        <rFont val="Arial"/>
        <family val="2"/>
      </rPr>
      <t>Deslocamento ou reinstalação</t>
    </r>
    <r>
      <rPr>
        <sz val="10"/>
        <rFont val="Arial"/>
        <family val="2"/>
      </rPr>
      <t xml:space="preserve"> de armação secundária montada com
mais de 1 (um) estribo</t>
    </r>
  </si>
  <si>
    <t>780A</t>
  </si>
  <si>
    <t>781A</t>
  </si>
  <si>
    <t>782A</t>
  </si>
  <si>
    <t>783A</t>
  </si>
  <si>
    <t>784A</t>
  </si>
  <si>
    <t>785A</t>
  </si>
  <si>
    <t>786A</t>
  </si>
  <si>
    <t>787A</t>
  </si>
  <si>
    <t>790A</t>
  </si>
  <si>
    <r>
      <rPr>
        <b/>
        <sz val="10"/>
        <rFont val="Arial"/>
        <family val="2"/>
      </rPr>
      <t xml:space="preserve">MONTAGEM - </t>
    </r>
    <r>
      <rPr>
        <sz val="10"/>
        <rFont val="Arial"/>
        <family val="2"/>
      </rPr>
      <t>lançamento de cabo de alumínio de AT, acima 02 AWG até 2/0 AWG CA ou CAA e cabo alumínio 4/0 CA</t>
    </r>
  </si>
  <si>
    <r>
      <rPr>
        <b/>
        <sz val="10"/>
        <rFont val="Arial"/>
        <family val="2"/>
      </rPr>
      <t>Retirada</t>
    </r>
    <r>
      <rPr>
        <sz val="10"/>
        <rFont val="Arial"/>
        <family val="2"/>
      </rPr>
      <t xml:space="preserve"> de cabo de alumínio de AT, acima 02 AWG até 2/0 AWG CA ou CAA e cabo alumínio 4/0 CA</t>
    </r>
  </si>
  <si>
    <r>
      <rPr>
        <b/>
        <sz val="10"/>
        <rFont val="Arial"/>
        <family val="2"/>
      </rPr>
      <t>MONTAGEM -</t>
    </r>
    <r>
      <rPr>
        <sz val="10"/>
        <rFont val="Arial"/>
        <family val="2"/>
      </rPr>
      <t xml:space="preserve"> lançamento de cabo de alumínio de at, de 4/0 AWG até 336,4 mcm CAA e cabo de alumínio acima de 4/0 AWG até 336,4 mcm CA</t>
    </r>
  </si>
  <si>
    <r>
      <rPr>
        <b/>
        <sz val="10"/>
        <rFont val="Arial"/>
        <family val="2"/>
      </rPr>
      <t>Retirada</t>
    </r>
    <r>
      <rPr>
        <sz val="10"/>
        <rFont val="Arial"/>
        <family val="2"/>
      </rPr>
      <t xml:space="preserve"> de cabo de alumínio de at, de 4/0 AWG até 336,4 mcm CAA e cabo de alumínio acima de 4/0 AWG até 336,4 mcm CA</t>
    </r>
  </si>
  <si>
    <r>
      <rPr>
        <b/>
        <sz val="10"/>
        <rFont val="Arial"/>
        <family val="2"/>
      </rPr>
      <t>MONTAGEM -</t>
    </r>
    <r>
      <rPr>
        <sz val="10"/>
        <rFont val="Arial"/>
        <family val="2"/>
      </rPr>
      <t xml:space="preserve"> lançamento de cabo de alumínio de AT, acima 336,4 mcm CA ou CAA</t>
    </r>
  </si>
  <si>
    <r>
      <rPr>
        <b/>
        <sz val="10"/>
        <rFont val="Arial"/>
        <family val="2"/>
      </rPr>
      <t>Retirada</t>
    </r>
    <r>
      <rPr>
        <sz val="10"/>
        <rFont val="Arial"/>
        <family val="2"/>
      </rPr>
      <t xml:space="preserve"> de cabo de alumínio de AT, acima 336,4 mcm CA ou CAA</t>
    </r>
  </si>
  <si>
    <r>
      <rPr>
        <b/>
        <sz val="10"/>
        <rFont val="Arial"/>
        <family val="2"/>
      </rPr>
      <t>MONTAGEM -</t>
    </r>
    <r>
      <rPr>
        <sz val="10"/>
        <rFont val="Arial"/>
        <family val="2"/>
      </rPr>
      <t xml:space="preserve"> lançamento de cabo ou fio de cobre de AT, até 35 mm24/0 AWG até 336,4 mcm CA</t>
    </r>
  </si>
  <si>
    <r>
      <rPr>
        <b/>
        <sz val="10"/>
        <rFont val="Arial"/>
        <family val="2"/>
      </rPr>
      <t>MONTAGEM -</t>
    </r>
    <r>
      <rPr>
        <sz val="10"/>
        <rFont val="Arial"/>
        <family val="2"/>
      </rPr>
      <t xml:space="preserve"> lançamento de cabo de cobre de AT, acima de 35 mm2</t>
    </r>
  </si>
  <si>
    <r>
      <rPr>
        <b/>
        <sz val="10"/>
        <rFont val="Arial"/>
        <family val="2"/>
      </rPr>
      <t>Retirada</t>
    </r>
    <r>
      <rPr>
        <sz val="10"/>
        <rFont val="Arial"/>
        <family val="2"/>
      </rPr>
      <t xml:space="preserve"> de cabo de cobre de AT, acima de 35 mm2</t>
    </r>
  </si>
  <si>
    <r>
      <rPr>
        <b/>
        <sz val="10"/>
        <rFont val="Arial"/>
        <family val="2"/>
      </rPr>
      <t>MONTAGEM -</t>
    </r>
    <r>
      <rPr>
        <sz val="10"/>
        <rFont val="Arial"/>
        <family val="2"/>
      </rPr>
      <t xml:space="preserve"> lançamento de cabo de AT, aço 3x2,25mm, aço-alumínio 3x10 AWG</t>
    </r>
  </si>
  <si>
    <r>
      <rPr>
        <b/>
        <sz val="10"/>
        <rFont val="Arial"/>
        <family val="2"/>
      </rPr>
      <t>Retirada</t>
    </r>
    <r>
      <rPr>
        <sz val="10"/>
        <rFont val="Arial"/>
        <family val="2"/>
      </rPr>
      <t xml:space="preserve"> de cabo de AT, aço 3x2,25mm, aço-alumínio 3x10 AWG</t>
    </r>
  </si>
  <si>
    <r>
      <rPr>
        <b/>
        <sz val="10"/>
        <rFont val="Arial"/>
        <family val="2"/>
      </rPr>
      <t>MONTAGEM -</t>
    </r>
    <r>
      <rPr>
        <sz val="10"/>
        <rFont val="Arial"/>
        <family val="2"/>
      </rPr>
      <t xml:space="preserve"> lançamento do fio de aço 3,09 mm de AT</t>
    </r>
  </si>
  <si>
    <r>
      <rPr>
        <b/>
        <sz val="10"/>
        <rFont val="Arial"/>
        <family val="2"/>
      </rPr>
      <t>Retirada</t>
    </r>
    <r>
      <rPr>
        <sz val="10"/>
        <rFont val="Arial"/>
        <family val="2"/>
      </rPr>
      <t xml:space="preserve"> de fio de aço 3,09 mm de AT</t>
    </r>
  </si>
  <si>
    <r>
      <rPr>
        <b/>
        <sz val="10"/>
        <rFont val="Arial"/>
        <family val="2"/>
      </rPr>
      <t>MONTAGEM -</t>
    </r>
    <r>
      <rPr>
        <sz val="10"/>
        <rFont val="Arial"/>
        <family val="2"/>
      </rPr>
      <t xml:space="preserve"> lançamento de cabo subterrâneo de alta tensão</t>
    </r>
  </si>
  <si>
    <r>
      <rPr>
        <b/>
        <sz val="10"/>
        <rFont val="Arial"/>
        <family val="2"/>
      </rPr>
      <t>Retirada</t>
    </r>
    <r>
      <rPr>
        <sz val="10"/>
        <rFont val="Arial"/>
        <family val="2"/>
      </rPr>
      <t xml:space="preserve"> de cabo subterrâneo de alta tensão</t>
    </r>
  </si>
  <si>
    <r>
      <rPr>
        <b/>
        <sz val="10"/>
        <rFont val="Arial"/>
        <family val="2"/>
      </rPr>
      <t>Retensionamento</t>
    </r>
    <r>
      <rPr>
        <sz val="10"/>
        <rFont val="Arial"/>
        <family val="2"/>
      </rPr>
      <t xml:space="preserve"> de cabos existentes em AT, </t>
    </r>
    <r>
      <rPr>
        <b/>
        <sz val="10"/>
        <rFont val="Arial"/>
        <family val="2"/>
      </rPr>
      <t>por cabo</t>
    </r>
  </si>
  <si>
    <t>1</t>
  </si>
  <si>
    <t>860A</t>
  </si>
  <si>
    <t>864A</t>
  </si>
  <si>
    <t>866A</t>
  </si>
  <si>
    <r>
      <rPr>
        <b/>
        <sz val="10"/>
        <rFont val="Arial"/>
        <family val="2"/>
      </rPr>
      <t>MONTAGEM -</t>
    </r>
    <r>
      <rPr>
        <sz val="10"/>
        <rFont val="Arial"/>
        <family val="2"/>
      </rPr>
      <t xml:space="preserve"> canaleta para proteção do cabo condutor AT / BT</t>
    </r>
  </si>
  <si>
    <r>
      <rPr>
        <b/>
        <sz val="10"/>
        <rFont val="Arial"/>
        <family val="2"/>
      </rPr>
      <t>Retirada</t>
    </r>
    <r>
      <rPr>
        <sz val="10"/>
        <rFont val="Arial"/>
        <family val="2"/>
      </rPr>
      <t xml:space="preserve"> de canaleta para proteção do cabo condutor AT / BT</t>
    </r>
  </si>
  <si>
    <r>
      <rPr>
        <b/>
        <sz val="10"/>
        <rFont val="Arial"/>
        <family val="2"/>
      </rPr>
      <t>MONTAGEM -</t>
    </r>
    <r>
      <rPr>
        <sz val="10"/>
        <rFont val="Arial"/>
        <family val="2"/>
      </rPr>
      <t xml:space="preserve"> esfera de sinalaização</t>
    </r>
  </si>
  <si>
    <r>
      <rPr>
        <b/>
        <sz val="10"/>
        <rFont val="Arial"/>
        <family val="2"/>
      </rPr>
      <t>MONTAGEM -</t>
    </r>
    <r>
      <rPr>
        <sz val="10"/>
        <rFont val="Arial"/>
        <family val="2"/>
      </rPr>
      <t xml:space="preserve"> eletroduto para rede subterrânea</t>
    </r>
  </si>
  <si>
    <r>
      <rPr>
        <b/>
        <sz val="10"/>
        <rFont val="Arial"/>
        <family val="2"/>
      </rPr>
      <t>Retirada</t>
    </r>
    <r>
      <rPr>
        <sz val="10"/>
        <rFont val="Arial"/>
        <family val="2"/>
      </rPr>
      <t xml:space="preserve"> de eletroduto para rede subterrânea</t>
    </r>
  </si>
  <si>
    <r>
      <rPr>
        <b/>
        <sz val="10"/>
        <rFont val="Arial"/>
        <family val="2"/>
      </rPr>
      <t>Retirada</t>
    </r>
    <r>
      <rPr>
        <sz val="10"/>
        <rFont val="Arial"/>
        <family val="2"/>
      </rPr>
      <t xml:space="preserve"> de esfera de sinalaização</t>
    </r>
  </si>
  <si>
    <r>
      <rPr>
        <b/>
        <sz val="10"/>
        <rFont val="Arial"/>
        <family val="2"/>
      </rPr>
      <t>Retirada</t>
    </r>
    <r>
      <rPr>
        <sz val="10"/>
        <rFont val="Arial"/>
        <family val="2"/>
      </rPr>
      <t xml:space="preserve"> de cabo ou fio de cobre de AT, até 35 mm24/0 AWG até 336,4 mcm CA</t>
    </r>
  </si>
  <si>
    <r>
      <rPr>
        <b/>
        <sz val="10"/>
        <rFont val="Arial"/>
        <family val="2"/>
      </rPr>
      <t>MONTAGEM</t>
    </r>
    <r>
      <rPr>
        <sz val="10"/>
        <rFont val="Arial"/>
        <family val="2"/>
      </rPr>
      <t xml:space="preserve"> - levantamento </t>
    </r>
    <r>
      <rPr>
        <b/>
        <sz val="10"/>
        <rFont val="Arial"/>
        <family val="2"/>
      </rPr>
      <t>POSTE</t>
    </r>
    <r>
      <rPr>
        <sz val="10"/>
        <rFont val="Arial"/>
        <family val="2"/>
      </rPr>
      <t xml:space="preserve"> auxiliar para entrada serviço de unidade consumidora</t>
    </r>
  </si>
  <si>
    <r>
      <rPr>
        <b/>
        <sz val="10"/>
        <rFont val="Arial"/>
        <family val="2"/>
      </rPr>
      <t>Retirada</t>
    </r>
    <r>
      <rPr>
        <sz val="10"/>
        <rFont val="Arial"/>
        <family val="2"/>
      </rPr>
      <t xml:space="preserve"> de </t>
    </r>
    <r>
      <rPr>
        <b/>
        <sz val="10"/>
        <rFont val="Arial"/>
        <family val="2"/>
      </rPr>
      <t>POSTE</t>
    </r>
    <r>
      <rPr>
        <sz val="10"/>
        <rFont val="Arial"/>
        <family val="2"/>
      </rPr>
      <t xml:space="preserve"> auxiliar para entrada serviço de unidade consumidora</t>
    </r>
  </si>
  <si>
    <r>
      <rPr>
        <b/>
        <sz val="10"/>
        <rFont val="Arial"/>
        <family val="2"/>
      </rPr>
      <t>MONTAGEM</t>
    </r>
    <r>
      <rPr>
        <sz val="10"/>
        <rFont val="Arial"/>
        <family val="2"/>
      </rPr>
      <t xml:space="preserve"> - levantamento de </t>
    </r>
    <r>
      <rPr>
        <b/>
        <sz val="10"/>
        <rFont val="Arial"/>
        <family val="2"/>
      </rPr>
      <t>POSTE</t>
    </r>
    <r>
      <rPr>
        <sz val="10"/>
        <rFont val="Arial"/>
        <family val="2"/>
      </rPr>
      <t xml:space="preserve"> até 12 metros de altura com resistência até 1000 DAN</t>
    </r>
  </si>
  <si>
    <r>
      <rPr>
        <b/>
        <sz val="10"/>
        <rFont val="Arial"/>
        <family val="2"/>
      </rPr>
      <t>Retirada</t>
    </r>
    <r>
      <rPr>
        <sz val="10"/>
        <rFont val="Arial"/>
        <family val="2"/>
      </rPr>
      <t xml:space="preserve"> de </t>
    </r>
    <r>
      <rPr>
        <b/>
        <sz val="10"/>
        <rFont val="Arial"/>
        <family val="2"/>
      </rPr>
      <t>POSTE</t>
    </r>
    <r>
      <rPr>
        <sz val="10"/>
        <rFont val="Arial"/>
        <family val="2"/>
      </rPr>
      <t xml:space="preserve"> até 12 metros de altura com resistência até 1000 DAN</t>
    </r>
  </si>
  <si>
    <r>
      <rPr>
        <b/>
        <sz val="10"/>
        <rFont val="Arial"/>
        <family val="2"/>
      </rPr>
      <t>MONTAGEM</t>
    </r>
    <r>
      <rPr>
        <sz val="10"/>
        <rFont val="Arial"/>
        <family val="2"/>
      </rPr>
      <t xml:space="preserve"> - levantamento de </t>
    </r>
    <r>
      <rPr>
        <b/>
        <sz val="10"/>
        <rFont val="Arial"/>
        <family val="2"/>
      </rPr>
      <t>POSTE</t>
    </r>
    <r>
      <rPr>
        <sz val="10"/>
        <rFont val="Arial"/>
        <family val="2"/>
      </rPr>
      <t xml:space="preserve"> até 12 metros de altura com resistência acima 1000 DAN</t>
    </r>
  </si>
  <si>
    <r>
      <rPr>
        <b/>
        <sz val="10"/>
        <rFont val="Arial"/>
        <family val="2"/>
      </rPr>
      <t>Retirada</t>
    </r>
    <r>
      <rPr>
        <sz val="10"/>
        <rFont val="Arial"/>
        <family val="2"/>
      </rPr>
      <t xml:space="preserve"> de </t>
    </r>
    <r>
      <rPr>
        <b/>
        <sz val="10"/>
        <rFont val="Arial"/>
        <family val="2"/>
      </rPr>
      <t>POSTE</t>
    </r>
    <r>
      <rPr>
        <sz val="10"/>
        <rFont val="Arial"/>
        <family val="2"/>
      </rPr>
      <t xml:space="preserve"> até 12 metros de altura com resistência.
acima 1000 DAN</t>
    </r>
  </si>
  <si>
    <r>
      <rPr>
        <b/>
        <sz val="10"/>
        <rFont val="Arial"/>
        <family val="2"/>
      </rPr>
      <t>MONTAGEM</t>
    </r>
    <r>
      <rPr>
        <sz val="10"/>
        <rFont val="Arial"/>
        <family val="2"/>
      </rPr>
      <t xml:space="preserve"> - levantamento de </t>
    </r>
    <r>
      <rPr>
        <b/>
        <sz val="10"/>
        <rFont val="Arial"/>
        <family val="2"/>
      </rPr>
      <t>POSTE</t>
    </r>
    <r>
      <rPr>
        <sz val="10"/>
        <rFont val="Arial"/>
        <family val="2"/>
      </rPr>
      <t xml:space="preserve"> entre 13 a 15 metros de altura</t>
    </r>
  </si>
  <si>
    <r>
      <rPr>
        <b/>
        <sz val="10"/>
        <rFont val="Arial"/>
        <family val="2"/>
      </rPr>
      <t>Retirada</t>
    </r>
    <r>
      <rPr>
        <sz val="10"/>
        <rFont val="Arial"/>
        <family val="2"/>
      </rPr>
      <t xml:space="preserve"> de </t>
    </r>
    <r>
      <rPr>
        <b/>
        <sz val="10"/>
        <rFont val="Arial"/>
        <family val="2"/>
      </rPr>
      <t>POSTE</t>
    </r>
    <r>
      <rPr>
        <sz val="10"/>
        <rFont val="Arial"/>
        <family val="2"/>
      </rPr>
      <t xml:space="preserve"> entre 13 a 15 metros de altura</t>
    </r>
  </si>
  <si>
    <r>
      <rPr>
        <b/>
        <sz val="10"/>
        <rFont val="Arial"/>
        <family val="2"/>
      </rPr>
      <t>MONTAGEM</t>
    </r>
    <r>
      <rPr>
        <sz val="10"/>
        <rFont val="Arial"/>
        <family val="2"/>
      </rPr>
      <t xml:space="preserve"> - levantamento de </t>
    </r>
    <r>
      <rPr>
        <b/>
        <sz val="10"/>
        <rFont val="Arial"/>
        <family val="2"/>
      </rPr>
      <t>POSTE</t>
    </r>
    <r>
      <rPr>
        <sz val="10"/>
        <rFont val="Arial"/>
        <family val="2"/>
      </rPr>
      <t xml:space="preserve"> de 15 a 18 metros de altura</t>
    </r>
  </si>
  <si>
    <r>
      <rPr>
        <b/>
        <sz val="10"/>
        <rFont val="Arial"/>
        <family val="2"/>
      </rPr>
      <t>Retirada</t>
    </r>
    <r>
      <rPr>
        <sz val="10"/>
        <rFont val="Arial"/>
        <family val="2"/>
      </rPr>
      <t xml:space="preserve"> de </t>
    </r>
    <r>
      <rPr>
        <b/>
        <sz val="10"/>
        <rFont val="Arial"/>
        <family val="2"/>
      </rPr>
      <t>POSTE</t>
    </r>
    <r>
      <rPr>
        <sz val="10"/>
        <rFont val="Arial"/>
        <family val="2"/>
      </rPr>
      <t xml:space="preserve"> de 15 a 18 metros de altura</t>
    </r>
  </si>
  <si>
    <r>
      <rPr>
        <b/>
        <sz val="10"/>
        <rFont val="Arial"/>
        <family val="2"/>
      </rPr>
      <t>MONTAGEM</t>
    </r>
    <r>
      <rPr>
        <sz val="10"/>
        <rFont val="Arial"/>
        <family val="2"/>
      </rPr>
      <t xml:space="preserve"> - levantamento de </t>
    </r>
    <r>
      <rPr>
        <b/>
        <sz val="10"/>
        <rFont val="Arial"/>
        <family val="2"/>
      </rPr>
      <t>POSTE</t>
    </r>
    <r>
      <rPr>
        <sz val="10"/>
        <rFont val="Arial"/>
        <family val="2"/>
      </rPr>
      <t xml:space="preserve"> acima de 18 metros de altura</t>
    </r>
  </si>
  <si>
    <r>
      <rPr>
        <b/>
        <sz val="10"/>
        <rFont val="Arial"/>
        <family val="2"/>
      </rPr>
      <t>Retirada</t>
    </r>
    <r>
      <rPr>
        <sz val="10"/>
        <rFont val="Arial"/>
        <family val="2"/>
      </rPr>
      <t xml:space="preserve"> de </t>
    </r>
    <r>
      <rPr>
        <b/>
        <sz val="10"/>
        <rFont val="Arial"/>
        <family val="2"/>
      </rPr>
      <t>POSTE</t>
    </r>
    <r>
      <rPr>
        <sz val="10"/>
        <rFont val="Arial"/>
        <family val="2"/>
      </rPr>
      <t xml:space="preserve"> acima de 18 metros de altura</t>
    </r>
  </si>
  <si>
    <r>
      <rPr>
        <b/>
        <sz val="10"/>
        <rFont val="Arial"/>
        <family val="2"/>
      </rPr>
      <t>MONTAGEM</t>
    </r>
    <r>
      <rPr>
        <sz val="10"/>
        <rFont val="Arial"/>
        <family val="2"/>
      </rPr>
      <t xml:space="preserve"> - proteção de </t>
    </r>
    <r>
      <rPr>
        <b/>
        <sz val="10"/>
        <rFont val="Arial"/>
        <family val="2"/>
      </rPr>
      <t>POSTE</t>
    </r>
  </si>
  <si>
    <r>
      <rPr>
        <b/>
        <sz val="10"/>
        <rFont val="Arial"/>
        <family val="2"/>
      </rPr>
      <t>Retirada</t>
    </r>
    <r>
      <rPr>
        <sz val="10"/>
        <rFont val="Arial"/>
        <family val="2"/>
      </rPr>
      <t xml:space="preserve"> de proteção de </t>
    </r>
    <r>
      <rPr>
        <b/>
        <sz val="10"/>
        <rFont val="Arial"/>
        <family val="2"/>
      </rPr>
      <t>POSTE</t>
    </r>
  </si>
  <si>
    <r>
      <rPr>
        <b/>
        <sz val="10"/>
        <rFont val="Arial"/>
        <family val="2"/>
      </rPr>
      <t>Retirada</t>
    </r>
    <r>
      <rPr>
        <sz val="10"/>
        <rFont val="Arial"/>
        <family val="2"/>
      </rPr>
      <t xml:space="preserve"> de defensa de </t>
    </r>
    <r>
      <rPr>
        <b/>
        <sz val="10"/>
        <rFont val="Arial"/>
        <family val="2"/>
      </rPr>
      <t>POSTE</t>
    </r>
  </si>
  <si>
    <r>
      <rPr>
        <b/>
        <sz val="10"/>
        <rFont val="Arial"/>
        <family val="2"/>
      </rPr>
      <t>Retirada</t>
    </r>
    <r>
      <rPr>
        <sz val="10"/>
        <rFont val="Arial"/>
        <family val="2"/>
      </rPr>
      <t xml:space="preserve"> de armação secundária. de 1 estribo ou parafuso com olhal</t>
    </r>
  </si>
  <si>
    <t>794A</t>
  </si>
  <si>
    <t>795A</t>
  </si>
  <si>
    <t>792A</t>
  </si>
  <si>
    <t>796A</t>
  </si>
  <si>
    <t>867A</t>
  </si>
  <si>
    <r>
      <rPr>
        <b/>
        <sz val="10"/>
        <rFont val="Arial"/>
        <family val="2"/>
      </rPr>
      <t>MONTAGEM</t>
    </r>
    <r>
      <rPr>
        <sz val="10"/>
        <rFont val="Arial"/>
        <family val="2"/>
      </rPr>
      <t xml:space="preserve"> - lançamento de cabo de alumínio de BT, até 02 AWG CA ou CAA</t>
    </r>
  </si>
  <si>
    <r>
      <rPr>
        <b/>
        <sz val="10"/>
        <rFont val="Arial"/>
        <family val="2"/>
      </rPr>
      <t xml:space="preserve">MONTAGEM - </t>
    </r>
    <r>
      <rPr>
        <sz val="10"/>
        <rFont val="Arial"/>
        <family val="2"/>
      </rPr>
      <t>lançamento de cabo de alumínio de AT, até 02 AWG CA ou CAA</t>
    </r>
  </si>
  <si>
    <r>
      <rPr>
        <b/>
        <sz val="10"/>
        <rFont val="Arial"/>
        <family val="2"/>
      </rPr>
      <t>Retirada</t>
    </r>
    <r>
      <rPr>
        <sz val="10"/>
        <rFont val="Arial"/>
        <family val="2"/>
      </rPr>
      <t xml:space="preserve"> de cabo de alumínio de AT, até 02 AWG CA ou CAA</t>
    </r>
  </si>
  <si>
    <r>
      <rPr>
        <b/>
        <sz val="10"/>
        <rFont val="Arial"/>
        <family val="2"/>
      </rPr>
      <t>MONTAGEM</t>
    </r>
    <r>
      <rPr>
        <sz val="10"/>
        <rFont val="Arial"/>
        <family val="2"/>
      </rPr>
      <t xml:space="preserve"> - lançamento de cabo de alumínio de BT, acima 02 AWG até 2/0 AWG CA ou CAA</t>
    </r>
  </si>
  <si>
    <r>
      <rPr>
        <b/>
        <sz val="10"/>
        <rFont val="Arial"/>
        <family val="2"/>
      </rPr>
      <t>MONTAGEM</t>
    </r>
    <r>
      <rPr>
        <sz val="10"/>
        <rFont val="Arial"/>
        <family val="2"/>
      </rPr>
      <t xml:space="preserve"> - lançamento de cabo ou fio de cobre de BT, até 35 mm2</t>
    </r>
  </si>
  <si>
    <t>Retirada de cabo ou fio de cobre de BT, até 35 mm2</t>
  </si>
  <si>
    <r>
      <rPr>
        <b/>
        <sz val="10"/>
        <rFont val="Arial"/>
        <family val="2"/>
      </rPr>
      <t>MONTAGEM</t>
    </r>
    <r>
      <rPr>
        <sz val="10"/>
        <rFont val="Arial"/>
        <family val="2"/>
      </rPr>
      <t xml:space="preserve"> - lançamento de cabo ou fio de cobre de BT, acima 35 mm2</t>
    </r>
  </si>
  <si>
    <t>Retirada de cabo ou fio de cobre de BT, acima 35 mm2</t>
  </si>
  <si>
    <r>
      <rPr>
        <b/>
        <sz val="10"/>
        <rFont val="Arial"/>
        <family val="2"/>
      </rPr>
      <t>MONTAGEM</t>
    </r>
    <r>
      <rPr>
        <sz val="10"/>
        <rFont val="Arial"/>
        <family val="2"/>
      </rPr>
      <t xml:space="preserve"> - lançamento de cabo subterrâneo de baixa tensão</t>
    </r>
  </si>
  <si>
    <t>Retirada de cabo subterrâneo de baixa tensão</t>
  </si>
  <si>
    <t>Retirada de espaçador de cabos em vão de baixa tensão</t>
  </si>
  <si>
    <r>
      <rPr>
        <b/>
        <sz val="10"/>
        <rFont val="Arial"/>
        <family val="2"/>
      </rPr>
      <t>MONTAGEM</t>
    </r>
    <r>
      <rPr>
        <sz val="10"/>
        <rFont val="Arial"/>
        <family val="2"/>
      </rPr>
      <t xml:space="preserve"> - espaçador de cabos em vão de baixa tensão</t>
    </r>
  </si>
  <si>
    <t>813A</t>
  </si>
  <si>
    <t>8712A</t>
  </si>
  <si>
    <r>
      <rPr>
        <b/>
        <sz val="10"/>
        <rFont val="Arial"/>
        <family val="2"/>
      </rPr>
      <t>MONTAGEM -</t>
    </r>
    <r>
      <rPr>
        <sz val="10"/>
        <rFont val="Arial"/>
        <family val="2"/>
      </rPr>
      <t xml:space="preserve"> descida suplementar de proteção para aterramento de transformador de 33kv</t>
    </r>
  </si>
  <si>
    <r>
      <rPr>
        <b/>
        <sz val="10"/>
        <rFont val="Arial"/>
        <family val="2"/>
      </rPr>
      <t>Retirada</t>
    </r>
    <r>
      <rPr>
        <sz val="10"/>
        <rFont val="Arial"/>
        <family val="2"/>
      </rPr>
      <t xml:space="preserve"> de descida suplementar de proteção para aterramento de transformador de 33kv</t>
    </r>
  </si>
  <si>
    <r>
      <rPr>
        <b/>
        <sz val="10"/>
        <rFont val="Arial"/>
        <family val="2"/>
      </rPr>
      <t>MONTAGEM -</t>
    </r>
    <r>
      <rPr>
        <sz val="10"/>
        <rFont val="Arial"/>
        <family val="2"/>
      </rPr>
      <t xml:space="preserve"> aterramento temporário para rede de AT</t>
    </r>
  </si>
  <si>
    <r>
      <rPr>
        <b/>
        <sz val="10"/>
        <rFont val="Arial"/>
        <family val="2"/>
      </rPr>
      <t>MONTAGEM -</t>
    </r>
    <r>
      <rPr>
        <sz val="10"/>
        <rFont val="Arial"/>
        <family val="2"/>
      </rPr>
      <t xml:space="preserve"> aterramento temporário para rede de BT</t>
    </r>
  </si>
  <si>
    <r>
      <rPr>
        <b/>
        <sz val="10"/>
        <rFont val="Arial"/>
        <family val="2"/>
      </rPr>
      <t>MONTAGEM -</t>
    </r>
    <r>
      <rPr>
        <sz val="10"/>
        <rFont val="Arial"/>
        <family val="2"/>
      </rPr>
      <t xml:space="preserve"> haste de aterramento de aço cobre, primeira haste</t>
    </r>
  </si>
  <si>
    <r>
      <rPr>
        <b/>
        <sz val="10"/>
        <rFont val="Arial"/>
        <family val="2"/>
      </rPr>
      <t>MONTAGEM -</t>
    </r>
    <r>
      <rPr>
        <sz val="10"/>
        <rFont val="Arial"/>
        <family val="2"/>
      </rPr>
      <t xml:space="preserve"> haste de aterramento de aço cobre, demais hastes</t>
    </r>
  </si>
  <si>
    <r>
      <rPr>
        <b/>
        <sz val="10"/>
        <rFont val="Arial"/>
        <family val="2"/>
      </rPr>
      <t>MONTAGEM</t>
    </r>
    <r>
      <rPr>
        <sz val="10"/>
        <rFont val="Arial"/>
        <family val="2"/>
      </rPr>
      <t xml:space="preserve"> - haste de aterramento de aço cobre, haste profunda</t>
    </r>
  </si>
  <si>
    <r>
      <rPr>
        <b/>
        <sz val="10"/>
        <rFont val="Arial"/>
        <family val="2"/>
      </rPr>
      <t>MONTAGEM -</t>
    </r>
    <r>
      <rPr>
        <sz val="10"/>
        <rFont val="Arial"/>
        <family val="2"/>
      </rPr>
      <t xml:space="preserve"> haste de aterramento zincada para cerca</t>
    </r>
  </si>
  <si>
    <r>
      <rPr>
        <b/>
        <sz val="10"/>
        <rFont val="Arial"/>
        <family val="2"/>
      </rPr>
      <t>MONTAGEM -</t>
    </r>
    <r>
      <rPr>
        <sz val="10"/>
        <rFont val="Arial"/>
        <family val="2"/>
      </rPr>
      <t xml:space="preserve"> malha de aterramento</t>
    </r>
  </si>
  <si>
    <r>
      <rPr>
        <b/>
        <sz val="10"/>
        <rFont val="Arial"/>
        <family val="2"/>
      </rPr>
      <t>MONTAGEM -</t>
    </r>
    <r>
      <rPr>
        <sz val="10"/>
        <rFont val="Arial"/>
        <family val="2"/>
      </rPr>
      <t xml:space="preserve"> aplicação de produtos químicos</t>
    </r>
  </si>
  <si>
    <r>
      <rPr>
        <b/>
        <sz val="10"/>
        <rFont val="Arial"/>
        <family val="2"/>
      </rPr>
      <t>MONTAGEM -</t>
    </r>
    <r>
      <rPr>
        <sz val="10"/>
        <rFont val="Arial"/>
        <family val="2"/>
      </rPr>
      <t xml:space="preserve"> instalação do aterramento temporário tipo sela</t>
    </r>
  </si>
  <si>
    <r>
      <rPr>
        <b/>
        <sz val="10"/>
        <rFont val="Arial"/>
        <family val="2"/>
      </rPr>
      <t>MONTAGEM -</t>
    </r>
    <r>
      <rPr>
        <sz val="10"/>
        <rFont val="Arial"/>
        <family val="2"/>
      </rPr>
      <t xml:space="preserve"> seccionamento de cerca, por seccionador</t>
    </r>
  </si>
  <si>
    <r>
      <rPr>
        <b/>
        <sz val="10"/>
        <rFont val="Arial"/>
        <family val="2"/>
      </rPr>
      <t>Retirada</t>
    </r>
    <r>
      <rPr>
        <sz val="10"/>
        <rFont val="Arial"/>
        <family val="2"/>
      </rPr>
      <t xml:space="preserve"> de seccionamento de cerca, por seccionador</t>
    </r>
  </si>
  <si>
    <r>
      <rPr>
        <b/>
        <sz val="10"/>
        <rFont val="Arial"/>
        <family val="2"/>
      </rPr>
      <t>MONTAGEM</t>
    </r>
    <r>
      <rPr>
        <sz val="10"/>
        <rFont val="Arial"/>
        <family val="2"/>
      </rPr>
      <t xml:space="preserve"> - Aprumar </t>
    </r>
    <r>
      <rPr>
        <b/>
        <sz val="10"/>
        <rFont val="Arial"/>
        <family val="2"/>
      </rPr>
      <t>POSTE</t>
    </r>
    <r>
      <rPr>
        <sz val="10"/>
        <rFont val="Arial"/>
        <family val="2"/>
      </rPr>
      <t xml:space="preserve"> existente equipado</t>
    </r>
  </si>
  <si>
    <r>
      <rPr>
        <b/>
        <sz val="10"/>
        <rFont val="Arial"/>
        <family val="2"/>
      </rPr>
      <t>MONTAGEM</t>
    </r>
    <r>
      <rPr>
        <sz val="10"/>
        <rFont val="Arial"/>
        <family val="2"/>
      </rPr>
      <t xml:space="preserve"> - Deslocamento de </t>
    </r>
    <r>
      <rPr>
        <b/>
        <sz val="10"/>
        <rFont val="Arial"/>
        <family val="2"/>
      </rPr>
      <t>POSTE</t>
    </r>
    <r>
      <rPr>
        <sz val="10"/>
        <rFont val="Arial"/>
        <family val="2"/>
      </rPr>
      <t xml:space="preserve"> equipado existente até 0,30 metros</t>
    </r>
  </si>
  <si>
    <r>
      <rPr>
        <b/>
        <sz val="10"/>
        <rFont val="Arial"/>
        <family val="2"/>
      </rPr>
      <t>MONTAGEM</t>
    </r>
    <r>
      <rPr>
        <sz val="10"/>
        <rFont val="Arial"/>
        <family val="2"/>
      </rPr>
      <t xml:space="preserve"> - </t>
    </r>
    <r>
      <rPr>
        <b/>
        <sz val="10"/>
        <rFont val="Arial"/>
        <family val="2"/>
      </rPr>
      <t>Instalação</t>
    </r>
    <r>
      <rPr>
        <sz val="10"/>
        <rFont val="Arial"/>
        <family val="2"/>
      </rPr>
      <t xml:space="preserve"> de defensa de </t>
    </r>
    <r>
      <rPr>
        <b/>
        <sz val="10"/>
        <rFont val="Arial"/>
        <family val="2"/>
      </rPr>
      <t>POSTE</t>
    </r>
  </si>
  <si>
    <r>
      <rPr>
        <b/>
        <sz val="10"/>
        <rFont val="Arial"/>
        <family val="2"/>
      </rPr>
      <t>MONTAGEM</t>
    </r>
    <r>
      <rPr>
        <sz val="10"/>
        <rFont val="Arial"/>
        <family val="2"/>
      </rPr>
      <t xml:space="preserve"> - </t>
    </r>
    <r>
      <rPr>
        <b/>
        <sz val="10"/>
        <rFont val="Arial"/>
        <family val="2"/>
      </rPr>
      <t>Reinstalação</t>
    </r>
    <r>
      <rPr>
        <sz val="10"/>
        <rFont val="Arial"/>
        <family val="2"/>
      </rPr>
      <t xml:space="preserve"> de cruzeta dupla montada</t>
    </r>
  </si>
  <si>
    <r>
      <rPr>
        <b/>
        <sz val="10"/>
        <rFont val="Arial"/>
        <family val="2"/>
      </rPr>
      <t>MONTAGEM</t>
    </r>
    <r>
      <rPr>
        <sz val="10"/>
        <rFont val="Arial"/>
        <family val="2"/>
      </rPr>
      <t xml:space="preserve"> - </t>
    </r>
    <r>
      <rPr>
        <b/>
        <sz val="10"/>
        <rFont val="Arial"/>
        <family val="2"/>
      </rPr>
      <t>Instalação</t>
    </r>
    <r>
      <rPr>
        <sz val="10"/>
        <rFont val="Arial"/>
        <family val="2"/>
      </rPr>
      <t xml:space="preserve"> de isolador de pino</t>
    </r>
  </si>
  <si>
    <r>
      <rPr>
        <b/>
        <sz val="10"/>
        <rFont val="Arial"/>
        <family val="2"/>
      </rPr>
      <t>MONTAGEM</t>
    </r>
    <r>
      <rPr>
        <sz val="10"/>
        <rFont val="Arial"/>
        <family val="2"/>
      </rPr>
      <t xml:space="preserve"> - </t>
    </r>
    <r>
      <rPr>
        <b/>
        <sz val="10"/>
        <rFont val="Arial"/>
        <family val="2"/>
      </rPr>
      <t>Iinstalação</t>
    </r>
    <r>
      <rPr>
        <sz val="10"/>
        <rFont val="Arial"/>
        <family val="2"/>
      </rPr>
      <t xml:space="preserve"> de suporte T para fixação de chaves ou pára-raios</t>
    </r>
  </si>
  <si>
    <r>
      <rPr>
        <b/>
        <sz val="10"/>
        <rFont val="Arial"/>
        <family val="2"/>
      </rPr>
      <t>MONTAGEM</t>
    </r>
    <r>
      <rPr>
        <sz val="10"/>
        <rFont val="Arial"/>
        <family val="2"/>
      </rPr>
      <t xml:space="preserve"> - </t>
    </r>
    <r>
      <rPr>
        <b/>
        <sz val="10"/>
        <rFont val="Arial"/>
        <family val="2"/>
      </rPr>
      <t>Instalação</t>
    </r>
    <r>
      <rPr>
        <sz val="10"/>
        <rFont val="Arial"/>
        <family val="2"/>
      </rPr>
      <t xml:space="preserve"> de Suporte ou afastador para isolador pilar</t>
    </r>
  </si>
  <si>
    <r>
      <rPr>
        <b/>
        <sz val="10"/>
        <rFont val="Arial"/>
        <family val="2"/>
      </rPr>
      <t>MONTAGEM</t>
    </r>
    <r>
      <rPr>
        <sz val="10"/>
        <rFont val="Arial"/>
        <family val="2"/>
      </rPr>
      <t xml:space="preserve"> - </t>
    </r>
    <r>
      <rPr>
        <b/>
        <sz val="10"/>
        <rFont val="Arial"/>
        <family val="2"/>
      </rPr>
      <t>Instalação</t>
    </r>
    <r>
      <rPr>
        <sz val="10"/>
        <rFont val="Arial"/>
        <family val="2"/>
      </rPr>
      <t xml:space="preserve"> de suporte l ou suporte afastador para rede antifurto</t>
    </r>
  </si>
  <si>
    <r>
      <rPr>
        <b/>
        <sz val="10"/>
        <rFont val="Arial"/>
        <family val="2"/>
      </rPr>
      <t>MONTAGEM</t>
    </r>
    <r>
      <rPr>
        <sz val="10"/>
        <rFont val="Arial"/>
        <family val="2"/>
      </rPr>
      <t xml:space="preserve"> - Corte de poste de concreto ou madeira para escora subsolo</t>
    </r>
  </si>
  <si>
    <r>
      <rPr>
        <b/>
        <sz val="10"/>
        <rFont val="Arial"/>
        <family val="2"/>
      </rPr>
      <t>MONTAGEM</t>
    </r>
    <r>
      <rPr>
        <sz val="10"/>
        <rFont val="Arial"/>
        <family val="2"/>
      </rPr>
      <t xml:space="preserve"> - Escora de subsolo simples</t>
    </r>
  </si>
  <si>
    <r>
      <rPr>
        <b/>
        <sz val="10"/>
        <rFont val="Arial"/>
        <family val="2"/>
      </rPr>
      <t>MONTAGEM</t>
    </r>
    <r>
      <rPr>
        <sz val="10"/>
        <rFont val="Arial"/>
        <family val="2"/>
      </rPr>
      <t xml:space="preserve"> - Escora de subsolo dupla</t>
    </r>
  </si>
  <si>
    <r>
      <rPr>
        <b/>
        <sz val="10"/>
        <rFont val="Arial"/>
        <family val="2"/>
      </rPr>
      <t>MONTAGEM</t>
    </r>
    <r>
      <rPr>
        <sz val="10"/>
        <rFont val="Arial"/>
        <family val="2"/>
      </rPr>
      <t xml:space="preserve"> - </t>
    </r>
    <r>
      <rPr>
        <b/>
        <sz val="10"/>
        <rFont val="Arial"/>
        <family val="2"/>
      </rPr>
      <t>Retensionamento</t>
    </r>
    <r>
      <rPr>
        <sz val="10"/>
        <rFont val="Arial"/>
        <family val="2"/>
      </rPr>
      <t xml:space="preserve"> de cabo aço do estai simples ou reforçado
existente</t>
    </r>
  </si>
  <si>
    <r>
      <rPr>
        <sz val="10"/>
        <rFont val="Arial"/>
        <family val="2"/>
      </rPr>
      <t>MONTAGEM</t>
    </r>
    <r>
      <rPr>
        <b/>
        <sz val="10"/>
        <rFont val="Arial"/>
        <family val="2"/>
      </rPr>
      <t xml:space="preserve"> - Concretagem</t>
    </r>
  </si>
  <si>
    <r>
      <rPr>
        <b/>
        <sz val="10"/>
        <rFont val="Arial"/>
        <family val="2"/>
      </rPr>
      <t>MONTAGEM</t>
    </r>
    <r>
      <rPr>
        <sz val="10"/>
        <rFont val="Arial"/>
        <family val="2"/>
      </rPr>
      <t xml:space="preserve"> - </t>
    </r>
    <r>
      <rPr>
        <b/>
        <sz val="10"/>
        <rFont val="Arial"/>
        <family val="2"/>
      </rPr>
      <t>Retensionamento</t>
    </r>
    <r>
      <rPr>
        <sz val="10"/>
        <rFont val="Arial"/>
        <family val="2"/>
      </rPr>
      <t xml:space="preserve"> de cabos existentes em BT, </t>
    </r>
    <r>
      <rPr>
        <b/>
        <sz val="10"/>
        <rFont val="Arial"/>
        <family val="2"/>
      </rPr>
      <t>por cabo</t>
    </r>
  </si>
  <si>
    <t>834A</t>
  </si>
  <si>
    <t>836A</t>
  </si>
  <si>
    <t>793A</t>
  </si>
  <si>
    <r>
      <rPr>
        <b/>
        <sz val="10"/>
        <rFont val="Arial"/>
        <family val="2"/>
      </rPr>
      <t>MONTAGEM</t>
    </r>
    <r>
      <rPr>
        <sz val="10"/>
        <rFont val="Arial"/>
        <family val="2"/>
      </rPr>
      <t xml:space="preserve"> - base p/ relé iluminação públ. comando grupo ou individual</t>
    </r>
  </si>
  <si>
    <r>
      <rPr>
        <b/>
        <sz val="10"/>
        <rFont val="Arial"/>
        <family val="2"/>
      </rPr>
      <t>MONTAGEM</t>
    </r>
    <r>
      <rPr>
        <sz val="10"/>
        <rFont val="Arial"/>
        <family val="2"/>
      </rPr>
      <t xml:space="preserve"> - braço de iluminação pública de até 2m de comprimento, com luminária aberta ou fechada, com lâmpada</t>
    </r>
  </si>
  <si>
    <r>
      <rPr>
        <b/>
        <sz val="10"/>
        <rFont val="Arial"/>
        <family val="2"/>
      </rPr>
      <t>Retirada</t>
    </r>
    <r>
      <rPr>
        <sz val="10"/>
        <rFont val="Arial"/>
        <family val="2"/>
      </rPr>
      <t xml:space="preserve"> de braço de iluminação pública de até 2m de comprimento, com luminária aberta ou fechada, com lâmpada</t>
    </r>
  </si>
  <si>
    <r>
      <rPr>
        <b/>
        <sz val="10"/>
        <rFont val="Arial"/>
        <family val="2"/>
      </rPr>
      <t>MONTAGEM</t>
    </r>
    <r>
      <rPr>
        <sz val="10"/>
        <rFont val="Arial"/>
        <family val="2"/>
      </rPr>
      <t xml:space="preserve"> - braço de iluminação pública acima de 2m de comprimento, com luminária aberta ou fechada, com lâmpada</t>
    </r>
  </si>
  <si>
    <r>
      <rPr>
        <b/>
        <sz val="10"/>
        <rFont val="Arial"/>
        <family val="2"/>
      </rPr>
      <t>MONTAGEM</t>
    </r>
    <r>
      <rPr>
        <sz val="10"/>
        <rFont val="Arial"/>
        <family val="2"/>
      </rPr>
      <t xml:space="preserve"> - deslocamento de luminária montada</t>
    </r>
  </si>
  <si>
    <t>835A</t>
  </si>
  <si>
    <t>838A</t>
  </si>
  <si>
    <t>839A</t>
  </si>
  <si>
    <t>840A</t>
  </si>
  <si>
    <t>841A</t>
  </si>
  <si>
    <t>842A</t>
  </si>
  <si>
    <t>845A</t>
  </si>
  <si>
    <t>843A</t>
  </si>
  <si>
    <t>859A</t>
  </si>
  <si>
    <r>
      <rPr>
        <b/>
        <sz val="10"/>
        <rFont val="Arial"/>
        <family val="2"/>
      </rPr>
      <t>MONTAGEM</t>
    </r>
    <r>
      <rPr>
        <sz val="10"/>
        <rFont val="Arial"/>
        <family val="2"/>
      </rPr>
      <t xml:space="preserve"> - luminária exceto braço para iluminação pública</t>
    </r>
  </si>
  <si>
    <t>Retirada de luminária exceto braço para iluminação pública</t>
  </si>
  <si>
    <r>
      <rPr>
        <b/>
        <sz val="10"/>
        <rFont val="Arial"/>
        <family val="2"/>
      </rPr>
      <t>MONTAGEM</t>
    </r>
    <r>
      <rPr>
        <sz val="10"/>
        <rFont val="Arial"/>
        <family val="2"/>
      </rPr>
      <t xml:space="preserve"> - luminária tipo pétala para iluminação pública</t>
    </r>
  </si>
  <si>
    <r>
      <rPr>
        <b/>
        <sz val="10"/>
        <rFont val="Arial"/>
        <family val="2"/>
      </rPr>
      <t>Retirada</t>
    </r>
    <r>
      <rPr>
        <sz val="10"/>
        <rFont val="Arial"/>
        <family val="2"/>
      </rPr>
      <t xml:space="preserve"> de luminária tipo pétala para iluminação pública</t>
    </r>
  </si>
  <si>
    <r>
      <rPr>
        <b/>
        <sz val="10"/>
        <rFont val="Arial"/>
        <family val="2"/>
      </rPr>
      <t>MONTAGEM</t>
    </r>
    <r>
      <rPr>
        <sz val="10"/>
        <rFont val="Arial"/>
        <family val="2"/>
      </rPr>
      <t xml:space="preserve"> - poste ornamental de aço tipo chicote simples ou duplo</t>
    </r>
  </si>
  <si>
    <r>
      <rPr>
        <b/>
        <sz val="10"/>
        <rFont val="Arial"/>
        <family val="2"/>
      </rPr>
      <t>MONTAGEM</t>
    </r>
    <r>
      <rPr>
        <sz val="10"/>
        <rFont val="Arial"/>
        <family val="2"/>
      </rPr>
      <t xml:space="preserve"> - poste ornamental até 5 metros altura útil com luminária decorativa</t>
    </r>
  </si>
  <si>
    <r>
      <rPr>
        <b/>
        <sz val="10"/>
        <rFont val="Arial"/>
        <family val="2"/>
      </rPr>
      <t>MONTAGEM</t>
    </r>
    <r>
      <rPr>
        <sz val="10"/>
        <rFont val="Arial"/>
        <family val="2"/>
      </rPr>
      <t xml:space="preserve"> - reator para lâmpada vapor de mercúrio (vmc), vapor de sódio (vsa) e vapor metálico</t>
    </r>
  </si>
  <si>
    <r>
      <rPr>
        <b/>
        <sz val="10"/>
        <rFont val="Arial"/>
        <family val="2"/>
      </rPr>
      <t>Retirada</t>
    </r>
    <r>
      <rPr>
        <sz val="10"/>
        <rFont val="Arial"/>
        <family val="2"/>
      </rPr>
      <t xml:space="preserve"> de reator para lâmpada vapor de mercúrio (vmc), vapor de sódio (vsa) e vapor metálico</t>
    </r>
  </si>
  <si>
    <r>
      <rPr>
        <b/>
        <sz val="10"/>
        <rFont val="Arial"/>
        <family val="2"/>
      </rPr>
      <t>MONTAGEM</t>
    </r>
    <r>
      <rPr>
        <sz val="10"/>
        <rFont val="Arial"/>
        <family val="2"/>
      </rPr>
      <t xml:space="preserve"> - refletor para lâmpada incandescente, mista, vapor de mercúrio, vapor de sódio e vapor metálico</t>
    </r>
  </si>
  <si>
    <r>
      <rPr>
        <b/>
        <sz val="10"/>
        <rFont val="Arial"/>
        <family val="2"/>
      </rPr>
      <t>MONTAGEM</t>
    </r>
    <r>
      <rPr>
        <sz val="10"/>
        <rFont val="Arial"/>
        <family val="2"/>
      </rPr>
      <t xml:space="preserve"> - reinstalação de luminária montada</t>
    </r>
  </si>
  <si>
    <r>
      <rPr>
        <b/>
        <sz val="10"/>
        <rFont val="Arial"/>
        <family val="2"/>
      </rPr>
      <t>MONTAGEM</t>
    </r>
    <r>
      <rPr>
        <sz val="10"/>
        <rFont val="Arial"/>
        <family val="2"/>
      </rPr>
      <t xml:space="preserve"> - relé fotelétrico de iluminação pública</t>
    </r>
  </si>
  <si>
    <r>
      <rPr>
        <b/>
        <sz val="10"/>
        <rFont val="Arial"/>
        <family val="2"/>
      </rPr>
      <t>Retirada</t>
    </r>
    <r>
      <rPr>
        <sz val="10"/>
        <rFont val="Arial"/>
        <family val="2"/>
      </rPr>
      <t xml:space="preserve"> de relé fotelétrico de iluminação pública</t>
    </r>
  </si>
  <si>
    <r>
      <rPr>
        <b/>
        <sz val="10"/>
        <rFont val="Arial"/>
        <family val="2"/>
      </rPr>
      <t>MONTAGEM</t>
    </r>
    <r>
      <rPr>
        <sz val="10"/>
        <rFont val="Arial"/>
        <family val="2"/>
      </rPr>
      <t xml:space="preserve"> - substituição de lâmpada de iluminação pública</t>
    </r>
  </si>
  <si>
    <r>
      <rPr>
        <b/>
        <sz val="10"/>
        <rFont val="Arial"/>
        <family val="2"/>
      </rPr>
      <t>MONTAGEM</t>
    </r>
    <r>
      <rPr>
        <sz val="10"/>
        <rFont val="Arial"/>
        <family val="2"/>
      </rPr>
      <t xml:space="preserve"> - caixa de proteção padrão copel, tipo a ou b para iluminação pública</t>
    </r>
  </si>
  <si>
    <r>
      <rPr>
        <b/>
        <sz val="10"/>
        <rFont val="Arial"/>
        <family val="2"/>
      </rPr>
      <t>Retirada</t>
    </r>
    <r>
      <rPr>
        <sz val="10"/>
        <rFont val="Arial"/>
        <family val="2"/>
      </rPr>
      <t xml:space="preserve"> de caixa de proteção padrão copel, tipo a ou b para iluminação pública</t>
    </r>
  </si>
  <si>
    <r>
      <rPr>
        <b/>
        <sz val="10"/>
        <rFont val="Arial"/>
        <family val="2"/>
      </rPr>
      <t>Retirada</t>
    </r>
    <r>
      <rPr>
        <sz val="10"/>
        <rFont val="Arial"/>
        <family val="2"/>
      </rPr>
      <t xml:space="preserve"> de poste ornamental até 5 metros altura útil com luminária decorativa</t>
    </r>
  </si>
  <si>
    <r>
      <rPr>
        <b/>
        <sz val="10"/>
        <rFont val="Arial"/>
        <family val="2"/>
      </rPr>
      <t>Retirada</t>
    </r>
    <r>
      <rPr>
        <sz val="10"/>
        <rFont val="Arial"/>
        <family val="2"/>
      </rPr>
      <t xml:space="preserve"> de braço de iluminação pública acima de 2m de comprimento, com luminária aberta ou fechada, com lâmpada</t>
    </r>
  </si>
  <si>
    <r>
      <rPr>
        <b/>
        <sz val="10"/>
        <rFont val="Arial"/>
        <family val="2"/>
      </rPr>
      <t>Retirada</t>
    </r>
    <r>
      <rPr>
        <sz val="10"/>
        <rFont val="Arial"/>
        <family val="2"/>
      </rPr>
      <t xml:space="preserve"> de base p/ relé iluminação públ. comando grupo ou individual</t>
    </r>
  </si>
  <si>
    <r>
      <rPr>
        <b/>
        <sz val="10"/>
        <rFont val="Arial"/>
        <family val="2"/>
      </rPr>
      <t>Retirada</t>
    </r>
    <r>
      <rPr>
        <sz val="10"/>
        <rFont val="Arial"/>
        <family val="2"/>
      </rPr>
      <t xml:space="preserve"> de cabo de alumínio de BT, acima 02 AWG até 2/0 AWG CA ou CAA</t>
    </r>
  </si>
  <si>
    <r>
      <rPr>
        <b/>
        <sz val="10"/>
        <rFont val="Arial"/>
        <family val="2"/>
      </rPr>
      <t>Retirada</t>
    </r>
    <r>
      <rPr>
        <sz val="10"/>
        <rFont val="Arial"/>
        <family val="2"/>
      </rPr>
      <t xml:space="preserve"> de cabo de alumínio de BT, até 02 AWG CA ou CAA</t>
    </r>
  </si>
  <si>
    <r>
      <rPr>
        <b/>
        <sz val="10"/>
        <rFont val="Arial"/>
        <family val="2"/>
      </rPr>
      <t>Retirada</t>
    </r>
    <r>
      <rPr>
        <sz val="10"/>
        <rFont val="Arial"/>
        <family val="2"/>
      </rPr>
      <t xml:space="preserve"> de refletor para lâmpada incandescente, mista, vapor de mercúrio, vapor de sódio e vapor metálicoberta ou fechada, com lâmpada</t>
    </r>
  </si>
  <si>
    <r>
      <rPr>
        <b/>
        <sz val="10"/>
        <rFont val="Arial"/>
        <family val="2"/>
      </rPr>
      <t>Retirada</t>
    </r>
    <r>
      <rPr>
        <sz val="10"/>
        <rFont val="Arial"/>
        <family val="2"/>
      </rPr>
      <t xml:space="preserve"> de poste ornamental de aço tipo chicote simples ou duplo</t>
    </r>
  </si>
  <si>
    <t>SERVIÇOS EXTRAS - ILUMINAÇÃO PÚBLICA</t>
  </si>
  <si>
    <t>Corpo de BSTC ø 0,70 Sem Berço c/ Armação Símples CA-1</t>
  </si>
  <si>
    <t>Corpo de BSTC ø 0,90 Sem Berço c/ Armação Símples CA-1</t>
  </si>
  <si>
    <t>Corpo de BSTC ø 0,50 Sem Berço c/ Armação Símples CA-1</t>
  </si>
  <si>
    <t>Corpo de BSTC ø 0,50 Sem Berço c/ Armação Dupla CA-2</t>
  </si>
  <si>
    <t>Corpo de BSTC ø 0,70 Sem Berço c/ Armação Dupla CA-2</t>
  </si>
  <si>
    <t>Corpo de BSTC ø 0,90 Sem Berço c/ Armação Dupla CA-2</t>
  </si>
  <si>
    <t>Corpo de BSTC ø 0,50 Com Berço c/ Armação Dupla CA-2</t>
  </si>
  <si>
    <t>Corpo de BSTC ø 0,70 Com Berço c/ Armação Dupla CA-2</t>
  </si>
  <si>
    <t>Corpo de BSTC ø 0,90 Com Berço c/ Armação Dupla CA-2</t>
  </si>
  <si>
    <t>TOTAL DE ILUMINAÇÃO PÚBLICA (8)</t>
  </si>
  <si>
    <t>TOTAL DE SEVIÇOS DIVERSOS (9)</t>
  </si>
  <si>
    <t>Remoção manual de entulho</t>
  </si>
  <si>
    <t>Remoção de Revestimento Primário</t>
  </si>
  <si>
    <t>Demolição Mecânica de Pavimento e Transporte</t>
  </si>
  <si>
    <t>SERVIÇOS EXTRAS - SERVIÇOS DIVERSOS</t>
  </si>
  <si>
    <t>Remanejamento postes linha transmissão</t>
  </si>
  <si>
    <t>11</t>
  </si>
  <si>
    <t xml:space="preserve">Ensaio de Massa Específica - In Situ - Método Frasco de Areia (Grau de Compactação) - Terraplenagem </t>
  </si>
  <si>
    <t xml:space="preserve">Ensaio de Massa Específica - In Situ - Método Frasco de Areia (Grau de Compactação) - Reforço do Subleito </t>
  </si>
  <si>
    <t>Ensaio de Massa Específica - In Situ - Método Frasco de Areia (Grau de Compactação) - Regularização e Compactação do Subleito</t>
  </si>
  <si>
    <t>Ensaio de Massa Específica - In Situ - Método Frasco de Areia (Grau de Compactação) - Sub-base e Base</t>
  </si>
  <si>
    <t>Ensaio de Granulometria do Agregado</t>
  </si>
  <si>
    <t>74022/27</t>
  </si>
  <si>
    <t>Ensaio de Controle de Taxa de Aplicação de Ligante Betuminoso</t>
  </si>
  <si>
    <t>74022/50</t>
  </si>
  <si>
    <t>Ensaio de Determinação da Taxa de Espalhamento do Agregado</t>
  </si>
  <si>
    <t>Ensaio de Percentagem de Betume - Misturas Betuminosas</t>
  </si>
  <si>
    <t>74022/53</t>
  </si>
  <si>
    <t>Ensaio de Controle do Grau de Compactação da Mistura Asfáltica</t>
  </si>
  <si>
    <t>74022/56</t>
  </si>
  <si>
    <t>Ensaio de Densidade do Material Betuminoso</t>
  </si>
  <si>
    <t>SERVIÇOS EXTRAS - ENSAIOS TECNOLÓGICOS</t>
  </si>
  <si>
    <t>gb</t>
  </si>
  <si>
    <t>DAER/RS</t>
  </si>
  <si>
    <t>TOTAL DE ENSAIOS TECNOLÓGICOS (11)</t>
  </si>
  <si>
    <t xml:space="preserve">     </t>
  </si>
  <si>
    <t>%</t>
  </si>
  <si>
    <t>Fincadinha de concreto - (5x22,5x45cm-0,01125m3/m)</t>
  </si>
  <si>
    <t>820000I</t>
  </si>
  <si>
    <t>BDI (%) - SERVIÇOS</t>
  </si>
  <si>
    <t>BDI (%) - BETUMES</t>
  </si>
  <si>
    <t>1 - Solicitar o valor do ISS do município</t>
  </si>
  <si>
    <t>2- Solicitar a "Base de Cálculo" (% de mão de Obra)</t>
  </si>
  <si>
    <t>Calçada Concreto ( e = 6,00 cm )</t>
  </si>
  <si>
    <t>Calçada Concreto ( e = 7,00 cm )</t>
  </si>
  <si>
    <t>Limpeza e desobstrução de bueiros simples</t>
  </si>
  <si>
    <t>Limpeza e desobstrução de bueiros duplos</t>
  </si>
  <si>
    <t>Limpeza e desobstrução de bueiros triplos</t>
  </si>
  <si>
    <t>Boca de saída de dreno ø 0,20</t>
  </si>
  <si>
    <t>Boca (Ala) de BSTC ø 0,30 m</t>
  </si>
  <si>
    <t>Boca (Ala) de BSTC ø 0,50 m</t>
  </si>
  <si>
    <t>Boca (Ala) de BSTC ø 0,70 m</t>
  </si>
  <si>
    <t>ENSAIOS TECNOLÓGICOS</t>
  </si>
  <si>
    <t>Calçada Concreto ( e = 8,00 cm )</t>
  </si>
  <si>
    <t>=ISS x base de cálculo</t>
  </si>
  <si>
    <t>Saibro Compactado CBR&gt;=20 (Base ou Sub-Base)</t>
  </si>
  <si>
    <t>Moledo  Compactado CBR&gt;=20(Base ou Sub-Base)</t>
  </si>
  <si>
    <t>Placa sinalização refletiva-retangular dupla (duas de-0,20x060) em L (0,2400 m2/ud) + suporte METÁLICO</t>
  </si>
  <si>
    <t>Concreto Ciclópico 11 Mpa (30% em volume de Pedra de Mão)</t>
  </si>
  <si>
    <t>tampão
161125</t>
  </si>
  <si>
    <r>
      <t>Digite  "</t>
    </r>
    <r>
      <rPr>
        <b/>
        <sz val="10"/>
        <rFont val="MS Sans Serif"/>
      </rPr>
      <t>X</t>
    </r>
    <r>
      <rPr>
        <sz val="10"/>
        <rFont val="MS Sans Serif"/>
      </rPr>
      <t>" para obter Valor Total sem BDI</t>
    </r>
  </si>
  <si>
    <t>Barreira New Jersey simples de concreto, não armada, executada com</t>
  </si>
  <si>
    <t>Barreira New Jersey dupla de concreto, não armada, executada com</t>
  </si>
  <si>
    <t>8.1</t>
  </si>
  <si>
    <t>5.1</t>
  </si>
  <si>
    <t>SEIL/2016</t>
  </si>
  <si>
    <t>3.20</t>
  </si>
  <si>
    <t>7.1</t>
  </si>
  <si>
    <t>Imprimação com Emulsão EAI - exclusive emulsão</t>
  </si>
  <si>
    <t>Imprimação com  CM-30 - exclusive CM-30</t>
  </si>
  <si>
    <t>Lama Asfáltica ( faixa " 1 " ) - 2 mm - exclusive emulsão (0,0015)</t>
  </si>
  <si>
    <t>taxa RL</t>
  </si>
  <si>
    <t>Lama Asfáltica ( faixa " 4 " ) -12 mm - exclusive emulsão (0,0026)</t>
  </si>
  <si>
    <t>Lama Asfáltica ( faixa " 2 " ) - 4 mm - exclusive emulsão (0,0018)</t>
  </si>
  <si>
    <t>Lama Asfáltica ( faixa " 3" ) - 8 mm - exclusive emulsão (0,0020)</t>
  </si>
  <si>
    <t>Fornecimento de CM-30 - imprimação</t>
  </si>
  <si>
    <t>Fornecimento de emulsão RR-2C - Trat.Sup.Tríplo ( TST ) Tipo I-5</t>
  </si>
  <si>
    <t>Fornecimento de CAP - Macadame Betuminoso</t>
  </si>
  <si>
    <t>Fornecimento de emulsão RR-2C - Capa Selante</t>
  </si>
  <si>
    <t>Fornecimento de CAP - Pré-Misturado a Quente (menor que 10000 ton)</t>
  </si>
  <si>
    <t>Fornecimento de CAP - Pré-Misturado a Quente (maior que 10000 ton)</t>
  </si>
  <si>
    <t>Fornecimento de CAP - CBUQ (Quantidade menor que 10000 toneladas)</t>
  </si>
  <si>
    <t>Fornecimento de CAP - CBUQ (Quantidade maior que 10000 toneladas)</t>
  </si>
  <si>
    <t>taxa RR-2C</t>
  </si>
  <si>
    <t>taxa CAP</t>
  </si>
  <si>
    <t>taxa RM-2C</t>
  </si>
  <si>
    <t>taxa CAP 
SBS(60/85)</t>
  </si>
  <si>
    <t>taxa CAP 
borracha</t>
  </si>
  <si>
    <t xml:space="preserve">ton </t>
  </si>
  <si>
    <t>taxa RR-1C</t>
  </si>
  <si>
    <t>SERVIÇOS DE URBANIZAÇÃO</t>
  </si>
  <si>
    <r>
      <t>Pré-Misturado a Frio (aberto) - DER - (</t>
    </r>
    <r>
      <rPr>
        <b/>
        <sz val="10"/>
        <rFont val="Arial"/>
        <family val="2"/>
      </rPr>
      <t>REPERFILAMENTO</t>
    </r>
    <r>
      <rPr>
        <sz val="10"/>
        <rFont val="Arial"/>
        <family val="2"/>
      </rPr>
      <t>)</t>
    </r>
  </si>
  <si>
    <r>
      <t>Pré-Misturado a Frio (aberto) - DER - (</t>
    </r>
    <r>
      <rPr>
        <b/>
        <sz val="10"/>
        <rFont val="Arial"/>
        <family val="2"/>
      </rPr>
      <t>TAPA - BURACO</t>
    </r>
    <r>
      <rPr>
        <sz val="10"/>
        <rFont val="Arial"/>
        <family val="2"/>
      </rPr>
      <t>)</t>
    </r>
  </si>
  <si>
    <r>
      <t>Pré-Misturado a Frio (aberto) - DER - (</t>
    </r>
    <r>
      <rPr>
        <b/>
        <sz val="10"/>
        <rFont val="Arial"/>
        <family val="2"/>
      </rPr>
      <t>CAPA</t>
    </r>
    <r>
      <rPr>
        <sz val="10"/>
        <rFont val="Arial"/>
        <family val="2"/>
      </rPr>
      <t>)</t>
    </r>
  </si>
  <si>
    <r>
      <t>Pré-Misturado a Frio (Semi-Denso) - DER - (</t>
    </r>
    <r>
      <rPr>
        <b/>
        <sz val="10"/>
        <rFont val="Arial"/>
        <family val="2"/>
      </rPr>
      <t>REPERFILAMENTO</t>
    </r>
    <r>
      <rPr>
        <sz val="10"/>
        <rFont val="Arial"/>
        <family val="2"/>
      </rPr>
      <t>)</t>
    </r>
  </si>
  <si>
    <r>
      <t>Pré-Misturado a Frio (Semi-Denso) - DER - (</t>
    </r>
    <r>
      <rPr>
        <b/>
        <sz val="10"/>
        <rFont val="Arial"/>
        <family val="2"/>
      </rPr>
      <t>CAPA</t>
    </r>
    <r>
      <rPr>
        <sz val="10"/>
        <rFont val="Arial"/>
        <family val="2"/>
      </rPr>
      <t>)</t>
    </r>
  </si>
  <si>
    <t>PAVIMENTAÇÃO</t>
  </si>
  <si>
    <t>SINAPI</t>
  </si>
  <si>
    <t>CBUQ - REMENDO (MANUAL)</t>
  </si>
  <si>
    <t>CBUQ - REMENDO (NECÂNICO)</t>
  </si>
  <si>
    <t>534000A</t>
  </si>
  <si>
    <t>534000B</t>
  </si>
  <si>
    <t>7.4</t>
  </si>
  <si>
    <t>aço
ca 50</t>
  </si>
  <si>
    <t>aço
ca 25</t>
  </si>
  <si>
    <t>Concr
18 mpa</t>
  </si>
  <si>
    <t>Origem</t>
  </si>
  <si>
    <t>Projeto:</t>
  </si>
  <si>
    <t>Experiência:</t>
  </si>
  <si>
    <t xml:space="preserve">1 - </t>
  </si>
  <si>
    <t>PAVIMENTAÇÃO (IMPLANTAÇÃO - RESTAURAÇÃO DE PAVIMENTO - IMPLASNTAÇÃO + RECAPE)</t>
  </si>
  <si>
    <r>
      <t xml:space="preserve">PRAZOS E ÁREAS MÁXIMAS DE </t>
    </r>
    <r>
      <rPr>
        <b/>
        <sz val="16"/>
        <color theme="1"/>
        <rFont val="Calibri"/>
        <family val="2"/>
        <scheme val="minor"/>
      </rPr>
      <t>PAVIMENTAÇÃO</t>
    </r>
    <r>
      <rPr>
        <b/>
        <sz val="11"/>
        <color theme="1"/>
        <rFont val="Calibri"/>
        <family val="2"/>
        <scheme val="minor"/>
      </rPr>
      <t xml:space="preserve"> PARA O CRONOGRMA</t>
    </r>
  </si>
  <si>
    <t>Prazo do</t>
  </si>
  <si>
    <t>Áreas Máximas</t>
  </si>
  <si>
    <t>Cronograma  (N)</t>
  </si>
  <si>
    <t>de</t>
  </si>
  <si>
    <t>até</t>
  </si>
  <si>
    <t>3 meses</t>
  </si>
  <si>
    <t>-</t>
  </si>
  <si>
    <t>2.000  m2</t>
  </si>
  <si>
    <t>4 meses</t>
  </si>
  <si>
    <t>4.000  m2</t>
  </si>
  <si>
    <t>5 meses</t>
  </si>
  <si>
    <t>8.000  m2</t>
  </si>
  <si>
    <t>Obs.</t>
  </si>
  <si>
    <t>Para áreas maiores que 30.000 m2  :    Dividir em "Lotes"</t>
  </si>
  <si>
    <t>6 meses</t>
  </si>
  <si>
    <t>13.000  m2</t>
  </si>
  <si>
    <t>7 meses</t>
  </si>
  <si>
    <t>18.000  m2</t>
  </si>
  <si>
    <t>8 meses</t>
  </si>
  <si>
    <t>24.000  m2</t>
  </si>
  <si>
    <t>9 meses</t>
  </si>
  <si>
    <t>30.000  m2</t>
  </si>
  <si>
    <t>RECAPE ASFÁLTICO</t>
  </si>
  <si>
    <t>PRAZOS E ÁREAS MÁXIMAS DE RECAPE PARA O CRONOGRMA</t>
  </si>
  <si>
    <t>10.000  m2</t>
  </si>
  <si>
    <t>15.000  m2</t>
  </si>
  <si>
    <t>Para áreas maiores que 60.000 m2  :    Dividir em "Lotes"</t>
  </si>
  <si>
    <t>20.000  m2</t>
  </si>
  <si>
    <t>40.000  m2</t>
  </si>
  <si>
    <t>50.000  m2</t>
  </si>
  <si>
    <t>60.000  m2</t>
  </si>
  <si>
    <r>
      <t>SECRETARIA DE ESTADO DO DESENVOLVIMENTO URBANO -</t>
    </r>
    <r>
      <rPr>
        <b/>
        <sz val="10"/>
        <rFont val="Arial"/>
        <family val="2"/>
      </rPr>
      <t xml:space="preserve"> </t>
    </r>
    <r>
      <rPr>
        <b/>
        <sz val="12"/>
        <rFont val="Arial"/>
        <family val="2"/>
      </rPr>
      <t>SEDU</t>
    </r>
  </si>
  <si>
    <t>Edital no Município</t>
  </si>
  <si>
    <t>Procedimento prévio</t>
  </si>
  <si>
    <t>Início previsto da Obra</t>
  </si>
  <si>
    <t>Empréstimo</t>
  </si>
  <si>
    <t>Data</t>
  </si>
  <si>
    <t>Dias</t>
  </si>
  <si>
    <t>Contrapartida do Proponente</t>
  </si>
  <si>
    <t>Quantidade:</t>
  </si>
  <si>
    <t>CRONOGRAMA FÍSICO FINANCEIRO</t>
  </si>
  <si>
    <t>Valor Total</t>
  </si>
  <si>
    <t>GRUPO</t>
  </si>
  <si>
    <t>SERVIÇOS</t>
  </si>
  <si>
    <t>PARCELAS (%)</t>
  </si>
  <si>
    <t>% S/</t>
  </si>
  <si>
    <t>Controle</t>
  </si>
  <si>
    <t>ITEM</t>
  </si>
  <si>
    <t>ITEM (R$)</t>
  </si>
  <si>
    <t>Data Início</t>
  </si>
  <si>
    <t>Data Fim</t>
  </si>
  <si>
    <t>TOTAIS</t>
  </si>
  <si>
    <t>COMPOSIÇÃO DOS RECURSOS (FINANCIAMENTO E CONTRAPARTIDA)</t>
  </si>
  <si>
    <t>PARCELAS</t>
  </si>
  <si>
    <t>Nº DE</t>
  </si>
  <si>
    <t>MESES</t>
  </si>
  <si>
    <t>1T</t>
  </si>
  <si>
    <t>FINANCIAMENTO</t>
  </si>
  <si>
    <t>R$</t>
  </si>
  <si>
    <t>1C</t>
  </si>
  <si>
    <t>CONTRAPARTIDA</t>
  </si>
  <si>
    <t>2T</t>
  </si>
  <si>
    <t>2C</t>
  </si>
  <si>
    <t>3T</t>
  </si>
  <si>
    <t>3C</t>
  </si>
  <si>
    <t>4T</t>
  </si>
  <si>
    <t>4C</t>
  </si>
  <si>
    <t>5T</t>
  </si>
  <si>
    <t>5C</t>
  </si>
  <si>
    <t>6T</t>
  </si>
  <si>
    <t>6C</t>
  </si>
  <si>
    <t>7T</t>
  </si>
  <si>
    <t>7C</t>
  </si>
  <si>
    <t>8T</t>
  </si>
  <si>
    <t>8C</t>
  </si>
  <si>
    <t>9T</t>
  </si>
  <si>
    <t>9C</t>
  </si>
  <si>
    <t>10T</t>
  </si>
  <si>
    <t>10C</t>
  </si>
  <si>
    <t>11T</t>
  </si>
  <si>
    <t>11C</t>
  </si>
  <si>
    <t>T</t>
  </si>
  <si>
    <t>C</t>
  </si>
  <si>
    <t>FATURAMENTO MENSAL PREVISTO</t>
  </si>
  <si>
    <t>MENSAL PARCIAL PREVISTO EM %</t>
  </si>
  <si>
    <t>MENSAL ACUMULADO PREVISTO EM %</t>
  </si>
  <si>
    <t>Resp. Técnico:</t>
  </si>
  <si>
    <t>Assinatura:</t>
  </si>
  <si>
    <t>Prefeito:</t>
  </si>
  <si>
    <t>data:</t>
  </si>
  <si>
    <t>___________________________</t>
  </si>
  <si>
    <t>__________________</t>
  </si>
  <si>
    <t>Convênio</t>
  </si>
  <si>
    <t>Repasse do Concedente</t>
  </si>
  <si>
    <t>nº</t>
  </si>
  <si>
    <t>COMPOSIÇÃO DOS RECURSOS (TESOURO E CONTRAPARTIDA)</t>
  </si>
  <si>
    <t>TESOURO</t>
  </si>
  <si>
    <t>Grandes 
Ítens  (%)</t>
  </si>
  <si>
    <t>Paranacidade
( R$ )</t>
  </si>
  <si>
    <t>Fornecimento de emulsão RR-1C - imprimação</t>
  </si>
  <si>
    <t>Fornecimento de emulsão EAI - imprimação</t>
  </si>
  <si>
    <t>Pintura de ligação com RR-1C - exclusive emulsão</t>
  </si>
  <si>
    <t>Fornecimento de emulsão RR-1C - pintura de ligaçãp</t>
  </si>
  <si>
    <t>Fornecimento de emulsão RL - lama asfáltica faixa 1</t>
  </si>
  <si>
    <t>Fornecimento de emulsão RL - lama asfáltica faixa 2</t>
  </si>
  <si>
    <t>Fornecimento de emulsão RL - lama asfáltica faixa 3</t>
  </si>
  <si>
    <t>Fornecimento de emulsão RL - lama asfáltica faixa 4</t>
  </si>
  <si>
    <t>Fornecimento de emulsão RR-2C - TSS</t>
  </si>
  <si>
    <t>Fornecimento de emulsão RR-2C - TSD com Capa Selante - Tipo I-1</t>
  </si>
  <si>
    <t>Fornecimento de emulsão RR-2C - TSD com Capa Selante - Tipo I-3</t>
  </si>
  <si>
    <t>Fornecimento de emulsão RR-2C - Trat.Sup.Tríplo ( TST ) Tipo I-4</t>
  </si>
  <si>
    <t>Fornecimento de emulsão RR-2C - Trat.Sup.Tríplo ( TST ) Tipo I-6</t>
  </si>
  <si>
    <t>Fornecimento de emulsão RR-2C - Macadame Betuminoso</t>
  </si>
  <si>
    <t>ADMINISTRAÇÃO CENTRAL</t>
  </si>
  <si>
    <t>RISCOS</t>
  </si>
  <si>
    <t>SEGUROS E GRANTIAS</t>
  </si>
  <si>
    <t>DESPESAS FINANCEIRAS</t>
  </si>
  <si>
    <t>DIGITE</t>
  </si>
  <si>
    <t>3- Fórmula de cálculo do ISS</t>
  </si>
  <si>
    <t>Local da Obra:</t>
  </si>
  <si>
    <t>BDI - ACÓRDÃO Nº 2622/2013 – TCU
PAVIMENTAÇÃO</t>
  </si>
  <si>
    <t>ISS =</t>
  </si>
  <si>
    <t>PIS =</t>
  </si>
  <si>
    <t>COFINS =</t>
  </si>
  <si>
    <t>CPMF =</t>
  </si>
  <si>
    <t>TOTAL =</t>
  </si>
  <si>
    <t>TIPO DE SERVIÇO</t>
  </si>
  <si>
    <t>OBRAS</t>
  </si>
  <si>
    <t>MATERIAIS</t>
  </si>
  <si>
    <t>BDI (OBRA OU MATERIAIS/EQUIP.)</t>
  </si>
  <si>
    <t>BDI=(((((1+(C8+C9+C10)/100)*(1+C11/100)*(1+C12/100))/(1-C6/100))-1)*100)</t>
  </si>
  <si>
    <t>BDI (OBRA)</t>
  </si>
  <si>
    <t>BDI (MATERIAIS E EQUIPAMENTOS)</t>
  </si>
  <si>
    <t>VALORES DO BDI POR TIPO DE OBRA</t>
  </si>
  <si>
    <t>TIPOS DE OBRA</t>
  </si>
  <si>
    <t>1º Quartil</t>
  </si>
  <si>
    <t>Médio</t>
  </si>
  <si>
    <t>3º Quartil</t>
  </si>
  <si>
    <t>CONSTRUÇÃO DE EDIFÍCIOS</t>
  </si>
  <si>
    <t>CONSTRUÇÃO DE RODOVIAS E FERROVIAS</t>
  </si>
  <si>
    <t>CONSTRUÇÃO DE REDES DE ABASTECIMENTO DE ÁGUA, COLETA DE ESGOTO E CONSTRUÇÕES CORRELATAS</t>
  </si>
  <si>
    <t>CONSTRUÇÃO E MANUTENÇÃO DE ESTAÇÕES E REDES DE DISTRIBUIÇÃO DE ENERGIA ELÉTRICA</t>
  </si>
  <si>
    <t>OBRAS PORTUÁRIAS, MARÍTIMAS E FLUVIAIS</t>
  </si>
  <si>
    <t>BDI PARA ITENS DE MERO FORNECIMENTO DE
MATERIAIS E EQUIPAMENTOS</t>
  </si>
  <si>
    <t>RISCO</t>
  </si>
  <si>
    <t>SEGURO + GARANTIA</t>
  </si>
  <si>
    <t>DESPESA FINANCEIRA</t>
  </si>
  <si>
    <t>BDI PARA ITENS DE MERO FORNECIMENTO DE MATERIAIS E EQUIPAMENTOS</t>
  </si>
  <si>
    <t>PARCELA DO BDI</t>
  </si>
  <si>
    <t>PERCENTUAL DE ADMINISTRAÇÃO LOCAL INSERIDO NO CUSTO DIRETO*</t>
  </si>
  <si>
    <t>*Para verificação da adequabilidade das planilhas orçamentárias das obras públicas utilizar como referência do impacto esperado para os itens associados a administração local no valor total do orçamento, os seguintes valores percentuais abtidos no estudo de que tratam estes autos.</t>
  </si>
  <si>
    <t>GRANDES ITENS</t>
  </si>
  <si>
    <t>4- Valor do ISS calculado</t>
  </si>
  <si>
    <t>SERVÇOS DE URBANIZAÇÃO</t>
  </si>
  <si>
    <t>74209/1</t>
  </si>
  <si>
    <t>PLACA DE OBRA 4,00 X 2,00 M, EM CHAPA DE ACO GALVANIZADO, INCLUSIVE ARMAÇÃO EM MADEIRA E PONTALETES</t>
  </si>
  <si>
    <t>73916/2</t>
  </si>
  <si>
    <t>PLACA DE OBRA TIPO BANNER, 4,00 X 2,00 M, EM QUADRO DE METALON 20 X 20 MM E LONA 360 G, COM IMPRESSÃO DIGITAL, FIXADA EM ESTRUTURA DE MADEIRA.</t>
  </si>
  <si>
    <t>Quantidade 
Edital (50%)</t>
  </si>
  <si>
    <t>Paver ou Bloket  e=6cm - sem colchão</t>
  </si>
  <si>
    <t>Paver ou Bloket  Colorido e=6cm - sem colchão</t>
  </si>
  <si>
    <t>Paver ou Bloket  e=8cm - sem colchão</t>
  </si>
  <si>
    <t>Paver ou Bloket  Colorido e=8cm - sem colchão</t>
  </si>
  <si>
    <t>Paver ou Bloket e=10cm - sem colchão</t>
  </si>
  <si>
    <t>Paver ou Bloket  Colorido e=10cm - sem colchão</t>
  </si>
  <si>
    <t>Petit - Pavet - (PEDRA PORTUGUESA) - sem colchão</t>
  </si>
  <si>
    <t>Fornecimento de Emulsão RM-2C - Pré-Misturado a Frio (aberto) - DER</t>
  </si>
  <si>
    <t>Fornecimento de Emulsão RM-2C - Pré-Misturado a Frio (Semi-Denso) - DER</t>
  </si>
  <si>
    <r>
      <t>Pré-Misturado a Frio (Denso) - DER - (</t>
    </r>
    <r>
      <rPr>
        <b/>
        <sz val="10"/>
        <rFont val="Arial"/>
        <family val="2"/>
      </rPr>
      <t>CAPA</t>
    </r>
    <r>
      <rPr>
        <sz val="10"/>
        <rFont val="Arial"/>
        <family val="2"/>
      </rPr>
      <t>)</t>
    </r>
  </si>
  <si>
    <t>CBUQ "PMQ" (Quant menor que 10.000 ton)</t>
  </si>
  <si>
    <t>CBUQ "PMQ" (Quant maior que 10.000 ton)</t>
  </si>
  <si>
    <t>PAV-071</t>
  </si>
  <si>
    <t>Arrancamento de Meio-Fio</t>
  </si>
  <si>
    <t>PAV-077</t>
  </si>
  <si>
    <t>Arrancamento e reassentamento de Meio-Fio de Concreto com sarjeta</t>
  </si>
  <si>
    <t>Demolição de Concreto Armado (calçadas e outros)</t>
  </si>
  <si>
    <t>Fornecimento de emulsão RR-1C - pintura de ligação</t>
  </si>
  <si>
    <r>
      <rPr>
        <b/>
        <sz val="12"/>
        <rFont val="Arial"/>
        <family val="2"/>
      </rPr>
      <t xml:space="preserve">CBUQ - PASSEIO  </t>
    </r>
    <r>
      <rPr>
        <sz val="10"/>
        <rFont val="Arial"/>
        <family val="2"/>
      </rPr>
      <t>(Quantidade menor que 10000 toneladas)</t>
    </r>
  </si>
  <si>
    <r>
      <rPr>
        <b/>
        <sz val="12"/>
        <rFont val="Arial"/>
        <family val="2"/>
      </rPr>
      <t xml:space="preserve">CBUQ - PASSEIO </t>
    </r>
    <r>
      <rPr>
        <sz val="10"/>
        <rFont val="Arial"/>
        <family val="2"/>
      </rPr>
      <t>(Quantidade maior que 10000 toneladas)</t>
    </r>
  </si>
  <si>
    <t>Plantio de Arbusto ou Cerca Viva</t>
  </si>
  <si>
    <t>Plantio de Árvore com altura até 2m</t>
  </si>
  <si>
    <t>Plantio de Árvore com altura de 2m a 4m</t>
  </si>
  <si>
    <t>Plantio de palmeira com altura até 2,00 m</t>
  </si>
  <si>
    <t>Plantio de forração</t>
  </si>
  <si>
    <t>TRANSFORMADOR DE DISTRIBUIÇÃO, 30 KVA, TRIFÁSICO, 60 HZ, CLASSE 15 KV, IMERSO EM ÓLEO MINERAL, INSTALAÇÃO EM POSTE (NÃO INCLUSO SUPORTE) - FORNECIMENTO E INSTALAÇÃO. AF_12/2020</t>
  </si>
  <si>
    <t>TRANSFORMADOR DE DISTRIBUIÇÃO, 45 KVA, TRIFÁSICO, 60 HZ, CLASSE 15 KV, IMERSO EM ÓLEO MINERAL, INSTALAÇÃO EM POSTE (NÃO INCLUSO SUPORTE) - FORNECIMENTO E INSTALAÇÃO. AF_12/2020</t>
  </si>
  <si>
    <t>TRANSFORMADOR DE DISTRIBUIÇÃO, 75 KVA, TRIFÁSICO, 60 HZ, CLASSE 15 KV, IMERSO EM ÓLEO MINERAL, INSTALAÇÃO EM POSTE (NÃO INCLUSO SUPORTE) - FORNECIMENTO E INSTALAÇÃO. AF_12/2020</t>
  </si>
  <si>
    <t>TRANSFORMADOR DE DISTRIBUIÇÃO, 112,5 KVA, TRIFÁSICO, 60 HZ, CLASSE 15 KV, IMERSO EM ÓLEO MINERAL, INSTALAÇÃO EM POSTE (NÃO INCLUSO SUPORTE) - FORNECIMENTO E INSTALAÇÃO. AF_12/2020</t>
  </si>
  <si>
    <t>TRANSFORMADOR DE DISTRIBUIÇÃO, 150 KVA, TRIFÁSICO, 60 HZ, CLASSE 15 KV, IMERSO EM ÓLEO MINERAL, INSTALAÇÃO EM POSTE (NÃO INCLUSO SUPORTE) - FORNECIMENTO E INSTALAÇÃO. AF_12/2020</t>
  </si>
  <si>
    <t>TRANSFORMADOR DE DISTRIBUIÇÃO, 225 KVA, TRIFÁSICO, 60 HZ, CLASSE 15 KV, IMERSO EM ÓLEO MINERAL, INSTALAÇÃO EM POSTE (NÃO INCLUSO SUPORTE) - FORNECIMENTO E INSTALAÇÃO. AF_12/2020</t>
  </si>
  <si>
    <t>TRANSFORMADOR DE DISTRIBUIÇÃO, 300 KVA, TRIFÁSICO, 60 HZ, CLASSE 15 KV, IMERSO EM ÓLEO MINERAL, INSTALAÇÃO EM POSTE (NÃO INCLUSO SUPORTE) - FORNECIMENTO E INSTALAÇÃO. AF_12/2020</t>
  </si>
  <si>
    <t>SUPORTE PARA TRANSFORMADOR EM POSTE DE CONCRETO CIRCULAR - FORNECIMENTO E INSTALAÇÃO. AF_12/2020</t>
  </si>
  <si>
    <t>SUPORTE PARA TRANSFORMADOR EM POSTE DE CONCRETO DUPLO T - FORNECIMENTO E INSTALAÇÃO. AF_12/2020</t>
  </si>
  <si>
    <t>POSTE DECORATIVO PARA JARDIM EM AÇO TUBULAR, H = *2,5* M, SEM LUMINÁRIA - FORNECIMENTO E INSTALAÇÃO. AF_11/2019</t>
  </si>
  <si>
    <t>POSTE DE AÇO CONICO CONTÍNUO CURVO SIMPLES, FLANGEADO, H=9M, INCLUSIVE LUMINÁRIA, SEM LÂMPADA - FORNECIMENTO E INSTALACAO. AF_11/2019</t>
  </si>
  <si>
    <t>POSTE DE AÇO CONICO CONTÍNUO CURVO DUPLO, FLANGEADO, H=9M, INCLUSIVE LUMINÁRIAS, SEM LÂMPADAS - FORNECIMENTO E INSTALACAO. AF_11/2019</t>
  </si>
  <si>
    <t>POSTE DE AÇO CONICO CONTÍNUO CURVO SIMPLES, ENGASTADO, H=9M, INCLUSIVE LUMINÁRIA, SEM LÂMPADA - FORNECIMENTO E INSTALACAO. AF_11/2019</t>
  </si>
  <si>
    <t>POSTE DE AÇO CONICO CONTÍNUO CURVO DUPLO, ENGASTADO, H=9M, INCLUSIVE LUMINÁRIAS, SEM LÂMPADAS - FORNECIMENTO E INSTALACAO. AF_11/2019</t>
  </si>
  <si>
    <t>ASSENTAMENTO DE POSTE DE CONCRETO COM COMPRIMENTO NOMINAL DE 9 M, CARGA NOMINAL MENOR OU IGUAL A 1000 DAN, ENGASTAMENTO SIMPLES COM 1,5 M DE SOLO (NÃO INCLUI FORNECIMENTO). AF_11/2019</t>
  </si>
  <si>
    <t>ASSENTAMENTO DE POSTE DE CONCRETO COM COMPRIMENTO NOMINAL DE 10 M, CARGA NOMINAL MENOR OU IGUAL A 1000 DAN, ENGASTAMENTO SIMPLES COM 1,6 M DE SOLO (NÃO INCLUI FORNECIMENTO). AF_11/2019</t>
  </si>
  <si>
    <t>ASSENTAMENTO DE POSTE DE CONCRETO COM COMPRIMENTO NOMINAL DE 10 M, CARGA NOMINAL MAIOR QUE 1000 DAN, ENGASTAMENTO SIMPLES COM 1,6 M DE SOLO (NÃO INCLUI FORNECIMENTO). AF_11/2019</t>
  </si>
  <si>
    <t>ASSENTAMENTO DE POSTE DE CONCRETO COM COMPRIMENTO NOMINAL DE 10,5 M, CARGA NOMINAL MENOR OU IGUAL A 1000 DAN, ENGASTAMENTO SIMPLES COM 1,65 M DE SOLO (NÃO INCLUI FORNECIMENTO). AF_11/2019</t>
  </si>
  <si>
    <t>ASSENTAMENTO DE POSTE DE CONCRETO COM COMPRIMENTO NOMINAL DE 10,5 M, CARGA NOMINAL MAIOR QUE 1000 DAN, ENGASTAMENTO SIMPLES COM 1,65 M DE SOLO (NÃO INCLUI FORNECIMENTO). AF_11/2019</t>
  </si>
  <si>
    <t>ASSENTAMENTO DE POSTE DE CONCRETO COM COMPRIMENTO NOMINAL DE 11 M, CARGA NOMINAL MENOR OU IGUAL A 1000 DAN, ENGASTAMENTO SIMPLES COM 1,7 M DE SOLO (NÃO INCLUI FORNECIMENTO). AF_11/2019</t>
  </si>
  <si>
    <t>ASSENTAMENTO DE POSTE DE CONCRETO COM COMPRIMENTO NOMINAL DE 11 M, CARGA NOMINAL MAIOR QUE 1000 DAN, ENGASTAMENTO SIMPLES COM 1,7 M DE SOLO (NÃO INCLUI FORNECIMENTO). AF_11/2019</t>
  </si>
  <si>
    <t>ASSENTAMENTO DE POSTE DE CONCRETO COM COMPRIMENTO NOMINAL DE 12 M, CARGA NOMINAL MENOR OU IGUAL A 1000 DAN, ENGASTAMENTO SIMPLES COM 1,8 M DE SOLO (NÃO INCLUI FORNECIMENTO). AF_11/2019</t>
  </si>
  <si>
    <t>ASSENTAMENTO DE POSTE DE CONCRETO COM COMPRIMENTO NOMINAL DE 12 M, CARGA NOMINAL MAIOR QUE 1000 DAN, ENGASTAMENTO SIMPLES COM 1,8 M DE SOLO (NÃO INCLUI FORNECIMENTO). AF_11/2019</t>
  </si>
  <si>
    <t>ASSENTAMENTO DE POSTE DE CONCRETO COM COMPRIMENTO NOMINAL DE 13 M, CARGA NOMINAL MENOR OU IGUAL A 1000 DAN, ENGASTAMENTO SIMPLES COM 1,9 M DE SOLO (NÃO INCLUI FORNECIMENTO). AF_11/2019</t>
  </si>
  <si>
    <t>ASSENTAMENTO DE POSTE DE CONCRETO COM COMPRIMENTO NOMINAL DE 13 M, CARGA NOMINAL MAIOR QUE 1000 DAN, ENGASTAMENTO SIMPLES COM 1,9 M DE SOLO (NÃO INCLUI FORNECIMENTO). AF_11/2019</t>
  </si>
  <si>
    <t>ASSENTAMENTO DE POSTE DE CONCRETO COM COMPRIMENTO NOMINAL DE 13,5 M, CARGA NOMINAL MENOR OU IGUAL A 1000 DAN, ENGASTAMENTO SIMPLES COM 1,95 M DE SOLO (NÃO INCLUI FORNECIMENTO). AF_11/2019</t>
  </si>
  <si>
    <t>ASSENTAMENTO DE POSTE DE CONCRETO COM COMPRIMENTO NOMINAL DE 13,5 M, CARGA NOMINAL MAIOR QUE 1000 DAN, ENGASTAMENTO SIMPLES COM 1,95 M DE SOLO (NÃO INCLUI FORNECIMENTO). AF_11/2019</t>
  </si>
  <si>
    <t>ASSENTAMENTO DE POSTE DE CONCRETO COM COMPRIMENTO NOMINAL DE 14 M, CARGA NOMINAL MENOR OU IGUAL A 1000 DAN, ENGASTAMENTO SIMPLES COM 2 M DE SOLO (NÃO INCLUI FORNECIMENTO). AF_11/2019</t>
  </si>
  <si>
    <t>ASSENTAMENTO DE POSTE DE CONCRETO COM COMPRIMENTO NOMINAL DE 14 M, CARGA NOMINAL MAIOR QUE 1000 DAN, ENGASTAMENTO SIMPLES COM 2 M DE SOLO (NÃO INCLUI FORNECIMENTO). AF_11/2019</t>
  </si>
  <si>
    <t>ASSENTAMENTO DE POSTE DE CONCRETO COM COMPRIMENTO NOMINAL DE 15 M, CARGA NOMINAL MENOR OU IGUAL A 1000 DAN, ENGASTAMENTO SIMPLES COM 2,1 M DE SOLO (NÃO INCLUI FORNECIMENTO). AF_11/2019</t>
  </si>
  <si>
    <t>ASSENTAMENTO DE POSTE DE CONCRETO COM COMPRIMENTO NOMINAL DE 15 M, CARGA NOMINAL MAIOR QUE 1000 DAN, ENGASTAMENTO SIMPLES COM 2,1 M DE SOLO (NÃO INCLUI FORNECIMENTO). AF_11/2019</t>
  </si>
  <si>
    <t>ASSENTAMENTO DE POSTE DE CONCRETO COM COMPRIMENTO NOMINAL DE 18 M, CARGA NOMINAL MENOR OU IGUAL A 1000 DAN, ENGASTAMENTO SIMPLES COM 2,4 M DE SOLO (NÃO INCLUI FORNECIMENTO). AF_11/2019</t>
  </si>
  <si>
    <t>ASSENTAMENTO DE POSTE DE CONCRETO COM COMPRIMENTO NOMINAL DE 18 M, CARGA NOMINAL MAIOR QUE 1000 DAN, ENGASTAMENTO SIMPLES COM 2,4 M DE SOLO (NÃO INCLUI FORNECIMENTO). AF_11/2019</t>
  </si>
  <si>
    <t>ASSENTAMENTO DE POSTE DE CONCRETO COM COMPRIMENTO NOMINAL DE 20 M, CARGA NOMINAL MENOR OU IGUAL A 1000 DAN, ENGASTAMENTO SIMPLES COM 2,6 M DE SOLO (NÃO INCLUI FORNECIMENTO). AF_11/2019</t>
  </si>
  <si>
    <t>ASSENTAMENTO DE POSTE DE CONCRETO COM COMPRIMENTO NOMINAL DE 20 M, CARGA NOMINAL MAIOR QUE 1000, ENGASTAMENTO SIMPLES COM 2,6 M DE SOLO (NÃO INCLUI FORNECIMENTO). AF_11/2019</t>
  </si>
  <si>
    <t>ASSENTAMENTO DE POSTE DE CONCRETO COM COMPRIMENTO NOMINAL DE 9 M, CARGA NOMINAL DE 150 DAN, ENGASTAMENTO BASE CONCRETADA COM 1 M DE CONCRETO E 0,5 M DE SOLO (NÃO INCLUI FORNECIMENTO). AF_11/2019</t>
  </si>
  <si>
    <t>ASSENTAMENTO DE POSTE DE CONCRETO COM COMPRIMENTO NOMINAL DE 9 M, CARGA NOMINAL DE 300 DAN, ENGASTAMENTO BASE CONCRETADA COM 1 M DE CONCRETO E 0,5 M DE SOLO (NÃO INCLUI FORNECIMENTO). AF_11/2019</t>
  </si>
  <si>
    <t>ASSENTAMENTO DE POSTE DE CONCRETO COM COMPRIMENTO NOMINAL DE 9 M, CARGA NOMINAL DE 400 DAN, ENGASTAMENTO BASE CONCRETADA COM 1 M DE CONCRETO E 0,5 M DE SOLO (NÃO INCLUI FORNECIMENTO). AF_11/2019</t>
  </si>
  <si>
    <t>ASSENTAMENTO DE POSTE DE CONCRETO COM COMPRIMENTO NOMINAL DE 9 M, CARGA NOMINAL DE 600 DAN, ENGASTAMENTO BASE CONCRETADA COM 1 M DE CONCRETO E 0,5 M DE SOLO (NÃO INCLUI FORNECIMENTO). AF_11/2019</t>
  </si>
  <si>
    <t>ASSENTAMENTO DE POSTE DE CONCRETO COM COMPRIMENTO NOMINAL DE 9 M, CARGA NOMINAL DE 1000 DAN, ENGASTAMENTO BASE CONCRETADA COM 1 M DE CONCRETO E 0,5 M DE SOLO (NÃO INCLUI FORNECIMENTO). AF_11/2019</t>
  </si>
  <si>
    <t>ASSENTAMENTO DE POSTE DE CONCRETO COM COMPRIMENTO NOMINAL DE 10 M, CARGA NOMINAL DE 300 DAN, ENGASTAMENTO BASE CONCRETADA COM 1 M DE CONCRETO E 0,6 M DE SOLO (NÃO INCLUI FORNECIMENTO). AF_11/2019</t>
  </si>
  <si>
    <t>ASSENTAMENTO DE POSTE DE CONCRETO COM COMPRIMENTO NOMINAL DE 10 M, CARGA NOMINAL DE 600 DAN, ENGASTAMENTO BASE CONCRETADA COM 1 M DE CONCRETO E 0,6 M DE SOLO (NÃO INCLUI FORNECIMENTO). AF_11/2019</t>
  </si>
  <si>
    <t>ASSENTAMENTO DE POSTE DE CONCRETO COM COMPRIMENTO NOMINAL DE 10 M, CARGA NOMINAL DE 1000 DAN, ENGASTAMENTO BASE CONCRETADA COM 1 M DE CONCRETO E 0,6 M DE SOLO (NÃO INCLUI FORNECIMENTO). AF_11/2019</t>
  </si>
  <si>
    <t>ASSENTAMENTO DE POSTE DE CONCRETO COM COMPRIMENTO NOMINAL DE 10,5 M, CARGA NOMINAL DE 300 DAN, ENGASTAMENTO BASE CONCRETADA COM 1 M DE CONCRETO E 0,65 M DE SOLO (NÃO INCLUI FORNECIMENTO). AF_11/2019</t>
  </si>
  <si>
    <t>ASSENTAMENTO DE POSTE DE CONCRETO COM COMPRIMENTO NOMINAL DE 10,5 M, CARGA NOMINAL DE 600 DAN, ENGASTAMENTO BASE CONCRETADA COM 1 M DE CONCRETO E 0,65 M DE SOLO (NÃO INCLUI FORNECIMENTO). AF_11/2019</t>
  </si>
  <si>
    <t>ASSENTAMENTO DE POSTE DE CONCRETO COM COMPRIMENTO NOMINAL DE 10,5 M, CARGA NOMINAL DE 1000 DAN, ENGASTAMENTO BASE CONCRETADA COM 1 M DE CONCRETO E 0,65 M DE SOLO (NÃO INCLUI FORNECIMENTO). AF_11/2019</t>
  </si>
  <si>
    <t>ASSENTAMENTO DE POSTE DE CONCRETO COM COMPRIMENTO NOMINAL DE 11 M, CARGA NOMINAL DE 300 DAN, ENGASTAMENTO BASE CONCRETADA COM 1 M DE CONCRETO E 0,7 M DE SOLO (NÃO INCLUI FORNECIMENTO). AF_11/2019</t>
  </si>
  <si>
    <t>ASSENTAMENTO DE POSTE DE CONCRETO COM COMPRIMENTO NOMINAL DE 11 M, CARGA NOMINAL DE 400 DAN, ENGASTAMENTO BASE CONCRETADA COM 1 M DE CONCRETO E 0,7 M DE SOLO (NÃO INCLUI FORNECIMENTO). AF_11/2019</t>
  </si>
  <si>
    <t>ASSENTAMENTO DE POSTE DE CONCRETO COM COMPRIMENTO NOMINAL DE 11 M, CARGA NOMINAL DE 600 DAN, ENGASTAMENTO BASE CONCRETADA COM 1 M DE CONCRETO E 0,7 M DE SOLO (NÃO INCLUI FORNECIMENTO). AF_11/2019</t>
  </si>
  <si>
    <t>ASSENTAMENTO DE POSTE DE CONCRETO COM COMPRIMENTO NOMINAL DE 11 M, CARGA NOMINAL DE 1000 DAN, ENGASTAMENTO BASE CONCRETADA COM 1 M DE CONCRETO E 0,7 M DE SOLO (NÃO INCLUI FORNECIMENTO). AF_11/2019</t>
  </si>
  <si>
    <t>ASSENTAMENTO DE POSTE DE CONCRETO COM COMPRIMENTO NOMINAL DE 12 M, CARGA NOMINAL DE 400 DAN, ENGASTAMENTO BASE CONCRETADA COM 1 M DE CONCRETO E 0,8 M DE SOLO (NÃO INCLUI FORNECIMENTO). AF_11/2019</t>
  </si>
  <si>
    <t>ASSENTAMENTO DE POSTE DE CONCRETO COM COMPRIMENTO NOMINAL DE 12 M, CARGA NOMINAL DE 600 DAN, ENGASTAMENTO BASE CONCRETADA COM 1 M DE CONCRETO E 0,8 M DE SOLO (NÃO INCLUI FORNECIMENTO). AF_11/2019</t>
  </si>
  <si>
    <t>ASSENTAMENTO DE POSTE DE CONCRETO COM COMPRIMENTO NOMINAL DE 12 M, CARGA NOMINAL DE 1000 DAN, ENGASTAMENTO BASE CONCRETADA COM 1 M DE CONCRETO E 0,8 M DE SOLO (NÃO INCLUI FORNECIMENTO). AF_11/2019</t>
  </si>
  <si>
    <t>ASSENTAMENTO DE POSTE DE CONCRETO COM COMPRIMENTO NOMINAL DE 13 M, CARGA NOMINAL DE 600 DAN, ENGASTAMENTO BASE CONCRETADA COM 1 M DE CONCRETO E 0,9 M DE SOLO (NÃO INCLUI FORNECIMENTO). AF_11/2019</t>
  </si>
  <si>
    <t>ASSENTAMENTO DE POSTE DE CONCRETO COM COMPRIMENTO NOMINAL DE 13 M, CARGA NOMINAL DE 1000 DAN, ENGASTAMENTO BASE CONCRETADA COM 1 M DE CONCRETO E 0,9 M DE SOLO - SOMENTE INSTALAÇÃO, SEM FORNECIMENTO. AF_11/2019</t>
  </si>
  <si>
    <t>REMOÇÃO DE INTERRUPTORES/TOMADAS ELÉTRICAS, DE FORMA MANUAL, SEM REAPROVEITAMENTO. AF_12/2017</t>
  </si>
  <si>
    <t>RASGO EM ALVENARIA PARA ELETRODUTOS COM DIAMETROS MENORES OU IGUAIS A 40 MM. AF_05/2015</t>
  </si>
  <si>
    <t>QUEBRA EM ALVENARIA PARA INSTALAÇÃO DE CAIXA DE TOMADA (4X4 OU 4X2). AF_05/2015</t>
  </si>
  <si>
    <t>QUEBRA EM ALVENARIA PARA INSTALAÇÃO DE QUADRO DISTRIBUIÇÃO PEQUENO (19X25 CM). AF_05/2015</t>
  </si>
  <si>
    <t>QUEBRA EM ALVENARIA PARA INSTALAÇÃO DE QUADRO DISTRIBUIÇÃO GRANDE (76X40 CM). AF_05/2015</t>
  </si>
  <si>
    <t>CAIXA DE PROTEÇÃO PARA MEDIDOR MONOFÁSICO DE EMBUTIR - FORNECIMENTO E INSTALAÇÃO. AF_10/2020</t>
  </si>
  <si>
    <t>ENTRADA DE ENERGIA ELÉTRICA, AÉREA, MONOFÁSICA, COM CAIXA DE SOBREPOR, CABO DE 10 MM2 E DISJUNTOR DIN 50A (NÃO INCLUSO O POSTE DE CONCRETO). AF_07/2020_P</t>
  </si>
  <si>
    <t>ENTRADA DE ENERGIA ELÉTRICA, AÉREA, MONOFÁSICA, COM CAIXA DE SOBREPOR, CABO DE 16 MM2 E DISJUNTOR DIN 50A (NÃO INCLUSO O POSTE DE CONCRETO). AF_07/2020_P</t>
  </si>
  <si>
    <t>ENTRADA DE ENERGIA ELÉTRICA, AÉREA, MONOFÁSICA, COM CAIXA DE SOBREPOR, CABO DE 25 MM2 E DISJUNTOR DIN 50A (NÃO INCLUSO O POSTE DE CONCRETO). AF_07/2020_P</t>
  </si>
  <si>
    <t>ENTRADA DE ENERGIA ELÉTRICA, AÉREA, MONOFÁSICA, COM CAIXA DE SOBREPOR, CABO DE 35 MM2 E DISJUNTOR DIN 50A (NÃO INCLUSO O POSTE DE CONCRETO). AF_07/2020_P</t>
  </si>
  <si>
    <t>ENTRADA DE ENERGIA ELÉTRICA, AÉREA, MONOFÁSICA, COM CAIXA DE EMBUTIR, CABO DE 10 MM2 E DISJUNTOR DIN 50A (NÃO INCLUSO O POSTE DE CONCRETO). AF_07/2020_P</t>
  </si>
  <si>
    <t>ENTRADA DE ENERGIA ELÉTRICA, AÉREA, MONOFÁSICA, COM CAIXA DE EMBUTIR, CABO DE 16 MM2 E DISJUNTOR DIN 50A (NÃO INCLUSO O POSTE DE CONCRETO). AF_07/2020_P</t>
  </si>
  <si>
    <t>ENTRADA DE ENERGIA ELÉTRICA, AÉREA, MONOFÁSICA, COM CAIXA DE EMBUTIR, CABO DE 25 MM2 E DISJUNTOR DIN 50A (NÃO INCLUSO O POSTE DE CONCRETO). AF_07/2020_P</t>
  </si>
  <si>
    <t>ENTRADA DE ENERGIA ELÉTRICA, AÉREA, MONOFÁSICA, COM CAIXA DE EMBUTIR, CABO DE 35 MM2 E DISJUNTOR DIN 50A (NÃO INCLUSO O POSTE DE CONCRETO). AF_07/2020_P</t>
  </si>
  <si>
    <t>ENTRADA DE ENERGIA ELÉTRICA, AÉREA, BIFÁSICA, COM CAIXA DE SOBREPOR, CABO DE 10 MM2 E DISJUNTOR DIN 50A (NÃO INCLUSO O POSTE DE CONCRETO). AF_07/2020_P</t>
  </si>
  <si>
    <t>ENTRADA DE ENERGIA ELÉTRICA, AÉREA, BIFÁSICA, COM CAIXA DE SOBREPOR, CABO DE 16 MM2 E DISJUNTOR DIN 50A (NÃO INCLUSO O POSTE DE CONCRETO). AF_07/2020_P</t>
  </si>
  <si>
    <t>ENTRADA DE ENERGIA ELÉTRICA, AÉREA, BIFÁSICA, COM CAIXA DE SOBREPOR, CABO DE 25 MM2 E DISJUNTOR DIN 50A (NÃO INCLUSO O POSTE DE CONCRETO). AF_07/2020_P</t>
  </si>
  <si>
    <t>ENTRADA DE ENERGIA ELÉTRICA, AÉREA, BIFÁSICA, COM CAIXA DE SOBREPOR, CABO DE 35 MM2 E DISJUNTOR DIN 50A (NÃO INCLUSO O POSTE DE CONCRETO). AF_07/2020_P</t>
  </si>
  <si>
    <t>ENTRADA DE ENERGIA ELÉTRICA, AÉREA, BIFÁSICA, COM CAIXA DE EMBUTIR, CABO DE 10 MM2 E DISJUNTOR DIN 50A (NÃO INCLUSO O POSTE DE CONCRETO). AF_07/2020_P</t>
  </si>
  <si>
    <t>ENTRADA DE ENERGIA ELÉTRICA, AÉREA, BIFÁSICA, COM CAIXA DE EMBUTIR, CABO DE 16 MM2 E DISJUNTOR DIN 50A (NÃO INCLUSO O POSTE DE CONCRETO). AF_07/2020_P</t>
  </si>
  <si>
    <t>ENTRADA DE ENERGIA ELÉTRICA, AÉREA, BIFÁSICA, COM CAIXA DE EMBUTIR, CABO DE 25 MM2 E DISJUNTOR DIN 50A (NÃO INCLUSO O POSTE DE CONCRETO). AF_07/2020_P</t>
  </si>
  <si>
    <t>ENTRADA DE ENERGIA ELÉTRICA, AÉREA, BIFÁSICA, COM CAIXA DE EMBUTIR, CABO DE 35 MM2 E DISJUNTOR DIN 50A (NÃO INCLUSO O POSTE DE CONCRETO). AF_07/2020_P</t>
  </si>
  <si>
    <t>ENTRADA DE ENERGIA ELÉTRICA, AÉREA, TRIFÁSICA, COM CAIXA DE SOBREPOR, CABO DE 10 MM2 E DISJUNTOR DIN 50A (NÃO INCLUSO O POSTE DE CONCRETO). AF_07/2020_P</t>
  </si>
  <si>
    <t>ENTRADA DE ENERGIA ELÉTRICA, AÉREA, TRIFÁSICA, COM CAIXA DE SOBREPOR, CABO DE 16 MM2 E DISJUNTOR DIN 50A (NÃO INCLUSO O POSTE DE CONCRETO). AF_07/2020_P</t>
  </si>
  <si>
    <t>ENTRADA DE ENERGIA ELÉTRICA, AÉREA, TRIFÁSICA, COM CAIXA DE SOBREPOR, CABO DE 25 MM2 E DISJUNTOR DIN 50A (NÃO INCLUSO O POSTE DE CONCRETO). AF_07/2020_P</t>
  </si>
  <si>
    <t>ENTRADA DE ENERGIA ELÉTRICA, AÉREA, TRIFÁSICA, COM CAIXA DE SOBREPOR, CABO DE 35 MM2 E DISJUNTOR DIN 50A (NÃO INCLUSO O POSTE DE CONCRETO). AF_07/2020_P</t>
  </si>
  <si>
    <t>ENTRADA DE ENERGIA ELÉTRICA, AÉREA, TRIFÁSICA, COM CAIXA DE EMBUTIR, CABO DE 10 MM2 E DISJUNTOR DIN 50A (NÃO INCLUSO O POSTE DE CONCRETO). AF_07/2020</t>
  </si>
  <si>
    <t>ENTRADA DE ENERGIA ELÉTRICA, AÉREA, TRIFÁSICA, COM CAIXA DE EMBUTIR, CABO DE 16 MM2 E DISJUNTOR DIN 50A (NÃO INCLUSO O POSTE DE CONCRETO). AF_07/2020</t>
  </si>
  <si>
    <t>ENTRADA DE ENERGIA ELÉTRICA, AÉREA, TRIFÁSICA, COM CAIXA DE EMBUTIR, CABO DE 25 MM2 E DISJUNTOR DIN 50A (NÃO INCLUSO O POSTE DE CONCRETO). AF_07/2020</t>
  </si>
  <si>
    <t>ENTRADA DE ENERGIA ELÉTRICA, AÉREA, TRIFÁSICA, COM CAIXA DE EMBUTIR, CABO DE 35 MM2 E DISJUNTOR DIN 50A (NÃO INCLUSO O POSTE DE CONCRETO). AF_07/2020</t>
  </si>
  <si>
    <t>ENTRADA DE ENERGIA ELÉTRICA, SUBTERRÂNEA, MONOFÁSICA, COM CAIXA DE SOBREPOR, CABO DE 10 MM2 E DISJUNTOR DIN 50A (NÃO INCLUSA MURETA DE ALVENARIA). AF_07/2020_P</t>
  </si>
  <si>
    <t>ENTRADA DE ENERGIA ELÉTRICA, SUBTERRÂNEA, MONOFÁSICA, COM CAIXA DE SOBREPOR, CABO DE 16 MM2 E DISJUNTOR DIN 50A (NÃO INCLUSA MURETA DE ALVENARIA). AF_07/2020_P</t>
  </si>
  <si>
    <t>ENTRADA DE ENERGIA ELÉTRICA, SUBTERRÂNEA, MONOFÁSICA, COM CAIXA DE SOBREPOR, CABO DE 25 MM2 E DISJUNTOR DIN 50A (NÃO INCLUSA MURETA DE ALVENARIA). AF_07/2020_P</t>
  </si>
  <si>
    <t>ENTRADA DE ENERGIA ELÉTRICA, SUBTERRÂNEA, MONOFÁSICA, COM CAIXA DE SOBREPOR, CABO DE 35 MM2 E DISJUNTOR DIN 50A (NÃO INCLUSA MURETA DE ALVENARIA). AF_07/2020_P</t>
  </si>
  <si>
    <t>ENTRADA DE ENERGIA ELÉTRICA, SUBTERRÂNEA, MONOFÁSICA, COM CAIXA DE EMBUTIR, CABO DE 10 MM2 E DISJUNTOR DIN 50A (NÃO INCLUSA MURETA DE ALVENARIA). AF_07/2020_P</t>
  </si>
  <si>
    <t>ENTRADA DE ENERGIA ELÉTRICA, SUBTERRÂNEA, MONOFÁSICA, COM CAIXA DE EMBUTIR, CABO DE 16 MM2 E DISJUNTOR DIN 50A (NÃO INCLUSA MURETA DE ALVENARIA). AF_07/2020_P</t>
  </si>
  <si>
    <t>ENTRADA DE ENERGIA ELÉTRICA, SUBTERRÂNEA, MONOFÁSICA, COM CAIXA DE EMBUTIR, CABO DE 25 MM2 E DISJUNTOR DIN 50A (NÃO INCLUSA MURETA DE ALVENARIA). AF_07/2020_P</t>
  </si>
  <si>
    <t>ENTRADA DE ENERGIA ELÉTRICA, SUBTERRÂNEA, MONOFÁSICA, COM CAIXA DE EMBUTIR, CABO DE 35 MM2 E DISJUNTOR DIN 50A (NÃO INCLUSA MURETA DE ALVENARIA). AF_07/2020_P</t>
  </si>
  <si>
    <t>ENTRADA DE ENERGIA ELÉTRICA, SUBTERRÂNEA, BIFÁSICA, COM CAIXA DE SOBREPOR, CABO DE 10 MM2 E DISJUNTOR DIN 50A (NÃO INCLUSA MURETA DE ALVENARIA). AF_07/2020_P</t>
  </si>
  <si>
    <t>ENTRADA DE ENERGIA ELÉTRICA, SUBTERRÂNEA, BIFÁSICA, COM CAIXA DE SOBREPOR, CABO DE 16 MM2 E DISJUNTOR DIN 50A (NÃO INCLUSA MURETA DE ALVENARIA). AF_07/2020_P</t>
  </si>
  <si>
    <t>ENTRADA DE ENERGIA ELÉTRICA, SUBTERRÂNEA, BIFÁSICA, COM CAIXA DE SOBREPOR, CABO DE 25 MM2 E DISJUNTOR DIN 50A (NÃO INCLUSA MURETA DE ALVENARIA). AF_07/2020_P</t>
  </si>
  <si>
    <t>ENTRADA DE ENERGIA ELÉTRICA, SUBTERRÂNEA, BIFÁSICA, COM CAIXA DE SOBREPOR, CABO DE 35 MM2 E DISJUNTOR DIN 50A (NÃO INCLUSA MURETA DE ALVENARIA). AF_07/2020_P</t>
  </si>
  <si>
    <t>ENTRADA DE ENERGIA ELÉTRICA, SUBTERRÂNEA, BIFÁSICA, COM CAIXA DE EMBUTIR, CABO DE 10 MM2 E DISJUNTOR DIN 50A (NÃO INCLUSA MURETA DE ALVENARIA). AF_07/2020_P</t>
  </si>
  <si>
    <t>ENTRADA DE ENERGIA ELÉTRICA, SUBTERRÂNEA, BIFÁSICA, COM CAIXA DE EMBUTIR, CABO DE 16 MM2 E DISJUNTOR DIN 50A (NÃO INCLUSA MURETA DE ALVENARIA). AF_07/2020_P</t>
  </si>
  <si>
    <t>ENTRADA DE ENERGIA ELÉTRICA, SUBTERRÂNEA, BIFÁSICA, COM CAIXA DE EMBUTIR, CABO DE 25 MM2 E DISJUNTOR DIN 50A (NÃO INCLUSA MURETA DE ALVENARIA). AF_07/2020_P</t>
  </si>
  <si>
    <t>ENTRADA DE ENERGIA ELÉTRICA, SUBTERRÂNEA, BIFÁSICA, COM CAIXA DE EMBUTIR, CABO DE 35 MM2 E DISJUNTOR DIN 50A (NÃO INCLUSA MURETA DE ALVENARIA). AF_07/2020_P</t>
  </si>
  <si>
    <t>ENTRADA DE ENERGIA ELÉTRICA, SUBTERRÂNEA, TRIFÁSICA, COM CAIXA DE SOBREPOR, CABO DE 10 MM2 E DISJUNTOR DIN 50A (NÃO INCLUSA MURETA DE ALVENARIA). AF_07/2020_P</t>
  </si>
  <si>
    <t>ENTRADA DE ENERGIA ELÉTRICA, SUBTERRÂNEA, TRIFÁSICA, COM CAIXA DE SOBREPOR, CABO DE 16 MM2 E DISJUNTOR DIN 50A (NÃO INCLUSA MURETA DE ALVENARIA). AF_07/2020_P</t>
  </si>
  <si>
    <t>ENTRADA DE ENERGIA ELÉTRICA, SUBTERRÂNEA, TRIFÁSICA, COM CAIXA DE SOBREPOR, CABO DE 25 MM2 E DISJUNTOR DIN 50A (NÃO INCLUSA MURETA DE ALVENARIA). AF_07/2020_P</t>
  </si>
  <si>
    <t>ENTRADA DE ENERGIA ELÉTRICA, SUBTERRÂNEA, TRIFÁSICA, COM CAIXA DE SOBREPOR, CABO DE 35 MM2 E DISJUNTOR DIN 50A (NÃO INCLUSA MURETA DE ALVENARIA). AF_07/2020_P</t>
  </si>
  <si>
    <t>ENTRADA DE ENERGIA ELÉTRICA, SUBTERRÂNEA, TRIFÁSICA, COM CAIXA DE EMBUTIR, CABO DE 10 MM2 E DISJUNTOR DIN 50A (NÃO INCLUSA MURETA DE ALVENARIA). AF_07/2020</t>
  </si>
  <si>
    <t>ENTRADA DE ENERGIA ELÉTRICA, SUBTERRÂNEA, TRIFÁSICA, COM CAIXA DE EMBUTIR, CABO DE 16 MM2 E DISJUNTOR DIN 50A (NÃO INCLUSA MURETA DE ALVENARIA). AF_07/2020</t>
  </si>
  <si>
    <t>ENTRADA DE ENERGIA ELÉTRICA, SUBTERRÂNEA, TRIFÁSICA, COM CAIXA DE EMBUTIR, CABO DE 25 MM2 E DISJUNTOR DIN 50A (NÃO INCLUSA MURETA DE ALVENARIA). AF_07/2020</t>
  </si>
  <si>
    <t>ENTRADA DE ENERGIA ELÉTRICA, SUBTERRÂNEA, TRIFÁSICA, COM CAIXA DE EMBUTIR, CABO DE 35 MM2 E DISJUNTOR DIN 50A (NÃO INCLUSA MURETA DE ALVENARIA). AF_07/2020</t>
  </si>
  <si>
    <t>16.105.000030.SER</t>
  </si>
  <si>
    <t>PINI 02/2021</t>
  </si>
  <si>
    <t>16.105.000031.SER</t>
  </si>
  <si>
    <t>16.105.000032.SER</t>
  </si>
  <si>
    <t>16.105.000033.SER</t>
  </si>
  <si>
    <t>Entrada de energia em poste próprio da edificação com potência instalada de 15 a 20 KW</t>
  </si>
  <si>
    <t>16.105.000034.SER</t>
  </si>
  <si>
    <t>Entrada de energia em poste próprio da edificação com potência instalada de 20 a 25 KW</t>
  </si>
  <si>
    <t>16.105.000035.SER</t>
  </si>
  <si>
    <t>Entrada de energia em poste próprio da edificação com potência instalada de 25 a 30 KW</t>
  </si>
  <si>
    <t>ELETRODUTO PVC 40MM (1 ¼ ) PARA SPDA - FORNECIMENTO E INSTALAÇÃO. AF_12/2017</t>
  </si>
  <si>
    <t>ELETRODUTO FLEXÍVEL CORRUGADO, PVC, DN 20 MM (1/2"), PARA CIRCUITOS TERMINAIS, INSTALADO EM FORRO - FORNECIMENTO E INSTALAÇÃO. AF_12/2015</t>
  </si>
  <si>
    <t>ELETRODUTO FLEXÍVEL CORRUGADO, PVC, DN 25 MM (3/4"), PARA CIRCUITOS TERMINAIS, INSTALADO EM FORRO - FORNECIMENTO E INSTALAÇÃO. AF_12/2015</t>
  </si>
  <si>
    <t>ELETRODUTO FLEXÍVEL CORRUGADO, PVC, DN 32 MM (1"), PARA CIRCUITOS TERMINAIS, INSTALADO EM FORRO - FORNECIMENTO E INSTALAÇÃO. AF_12/2015</t>
  </si>
  <si>
    <t>ELETRODUTO FLEXÍVEL CORRUGADO, PVC, DN 20 MM (1/2"), PARA CIRCUITOS TERMINAIS, INSTALADO EM LAJE - FORNECIMENTO E INSTALAÇÃO. AF_12/2015</t>
  </si>
  <si>
    <t>ELETRODUTO FLEXÍVEL CORRUGADO, PVC, DN 25 MM (3/4"), PARA CIRCUITOS TERMINAIS, INSTALADO EM LAJE - FORNECIMENTO E INSTALAÇÃO. AF_12/2015</t>
  </si>
  <si>
    <t>ELETRODUTO FLEXÍVEL CORRUGADO, PVC, DN 32 MM (1"), PARA CIRCUITOS TERMINAIS, INSTALADO EM LAJE - FORNECIMENTO E INSTALAÇÃO. AF_12/2015</t>
  </si>
  <si>
    <t>ELETRODUTO FLEXÍVEL CORRUGADO, PVC, DN 20 MM (1/2"), PARA CIRCUITOS TERMINAIS, INSTALADO EM PAREDE - FORNECIMENTO E INSTALAÇÃO. AF_12/2015</t>
  </si>
  <si>
    <t>ELETRODUTO FLEXÍVEL CORRUGADO, PVC, DN 25 MM (3/4"), PARA CIRCUITOS TERMINAIS, INSTALADO EM PAREDE - FORNECIMENTO E INSTALAÇÃO. AF_12/2015</t>
  </si>
  <si>
    <t>ELETRODUTO FLEXÍVEL CORRUGADO, PVC, DN 32 MM (1"), PARA CIRCUITOS TERMINAIS, INSTALADO EM PAREDE - FORNECIMENTO E INSTALAÇÃO. AF_12/2015</t>
  </si>
  <si>
    <t>ELETRODUTO FLEXÍVEL CORRUGADO REFORÇADO, PVC, DN 20 MM (1/2"), PARA CIRCUITOS TERMINAIS, INSTALADO EM FORRO - FORNECIMENTO E INSTALAÇÃO. AF_12/2015</t>
  </si>
  <si>
    <t>ELETRODUTO FLEXÍVEL CORRUGADO REFORÇADO, PVC, DN 25 MM (3/4"), PARA CIRCUITOS TERMINAIS, INSTALADO EM FORRO - FORNECIMENTO E INSTALAÇÃO. AF_12/2015</t>
  </si>
  <si>
    <t>ELETRODUTO FLEXÍVEL CORRUGADO REFORÇADO, PVC, DN 32 MM (1"), PARA CIRCUITOS TERMINAIS, INSTALADO EM FORRO - FORNECIMENTO E INSTALAÇÃO. AF_12/2015</t>
  </si>
  <si>
    <t>ELETRODUTO FLEXÍVEL CORRUGADO REFORÇADO, PVC, DN 20 MM (1/2"), PARA CIRCUITOS TERMINAIS, INSTALADO EM LAJE - FORNECIMENTO E INSTALAÇÃO. AF_12/2015</t>
  </si>
  <si>
    <t>ELETRODUTO FLEXÍVEL CORRUGADO REFORÇADO, PVC, DN 25 MM (3/4"), PARA CIRCUITOS TERMINAIS, INSTALADO EM LAJE - FORNECIMENTO E INSTALAÇÃO. AF_12/2015</t>
  </si>
  <si>
    <t>ELETRODUTO FLEXÍVEL CORRUGADO REFORÇADO, PVC, DN 32 MM (1"), PARA CIRCUITOS TERMINAIS, INSTALADO EM LAJE - FORNECIMENTO E INSTALAÇÃO. AF_12/2015</t>
  </si>
  <si>
    <t>ELETRODUTO FLEXÍVEL CORRUGADO REFORÇADO, PVC, DN 20 MM (1/2"), PARA CIRCUITOS TERMINAIS, INSTALADO EM PAREDE - FORNECIMENTO E INSTALAÇÃO. AF_12/2015</t>
  </si>
  <si>
    <t>ELETRODUTO FLEXÍVEL CORRUGADO REFORÇADO, PVC, DN 25 MM (3/4"), PARA CIRCUITOS TERMINAIS, INSTALADO EM PAREDE - FORNECIMENTO E INSTALAÇÃO. AF_12/2015</t>
  </si>
  <si>
    <t>ELETRODUTO FLEXÍVEL CORRUGADO REFORÇADO, PVC, DN 32 MM (1"), PARA CIRCUITOS TERMINAIS, INSTALADO EM PAREDE - FORNECIMENTO E INSTALAÇÃO. AF_12/2015</t>
  </si>
  <si>
    <t>LUVA PARA ELETRODUTO, PVC, ROSCÁVEL, DN 20 MM (1/2"), PARA CIRCUITOS TERMINAIS, INSTALADA EM FORRO - FORNECIMENTO E INSTALAÇÃO. AF_12/2015</t>
  </si>
  <si>
    <t>LUVA PARA ELETRODUTO, PVC, ROSCÁVEL, DN 25 MM (3/4"), PARA CIRCUITOS TERMINAIS, INSTALADA EM FORRO - FORNECIMENTO E INSTALAÇÃO. AF_12/2015</t>
  </si>
  <si>
    <t>LUVA PARA ELETRODUTO, PVC, ROSCÁVEL, DN 32 MM (1"), PARA CIRCUITOS TERMINAIS, INSTALADA EM FORRO - FORNECIMENTO E INSTALAÇÃO. AF_12/2015</t>
  </si>
  <si>
    <t>LUVA PARA ELETRODUTO, PVC, ROSCÁVEL, DN 40 MM (1 1/4"), PARA CIRCUITOS TERMINAIS, INSTALADA EM FORRO - FORNECIMENTO E INSTALAÇÃO. AF_12/2015</t>
  </si>
  <si>
    <t>LUVA PARA ELETRODUTO, PVC, ROSCÁVEL, DN 20 MM (1/2"), PARA CIRCUITOS TERMINAIS, INSTALADA EM LAJE - FORNECIMENTO E INSTALAÇÃO. AF_12/2015</t>
  </si>
  <si>
    <t>LUVA PARA ELETRODUTO, PVC, ROSCÁVEL, DN 25 MM (3/4"), PARA CIRCUITOS TERMINAIS, INSTALADA EM LAJE - FORNECIMENTO E INSTALAÇÃO. AF_12/2015</t>
  </si>
  <si>
    <t>LUVA PARA ELETRODUTO, PVC, ROSCÁVEL, DN 32 MM (1"), PARA CIRCUITOS TERMINAIS, INSTALADA EM LAJE - FORNECIMENTO E INSTALAÇÃO. AF_12/2015</t>
  </si>
  <si>
    <t>LUVA PARA ELETRODUTO, PVC, ROSCÁVEL, DN 40 MM (1 1/4"), PARA CIRCUITOS TERMINAIS, INSTALADA EM LAJE - FORNECIMENTO E INSTALAÇÃO. AF_12/2015</t>
  </si>
  <si>
    <t>LUVA PARA ELETRODUTO, PVC, ROSCÁVEL, DN 20 MM (1/2"), PARA CIRCUITOS TERMINAIS, INSTALADA EM PAREDE - FORNECIMENTO E INSTALAÇÃO. AF_12/2015</t>
  </si>
  <si>
    <t>LUVA PARA ELETRODUTO, PVC, ROSCÁVEL, DN 25 MM (3/4"), PARA CIRCUITOS TERMINAIS, INSTALADA EM PAREDE - FORNECIMENTO E INSTALAÇÃO. AF_12/2015</t>
  </si>
  <si>
    <t>LUVA PARA ELETRODUTO, PVC, ROSCÁVEL, DN 32 MM (1"), PARA CIRCUITOS TERMINAIS, INSTALADA EM PAREDE - FORNECIMENTO E INSTALAÇÃO. AF_12/2015</t>
  </si>
  <si>
    <t>LUVA PARA ELETRODUTO, PVC, ROSCÁVEL, DN 40 MM (1 1/4"), PARA CIRCUITOS TERMINAIS, INSTALADA EM PAREDE - FORNECIMENTO E INSTALAÇÃO. AF_12/2015</t>
  </si>
  <si>
    <t>CURVA 90 GRAUS PARA ELETRODUTO, PVC, ROSCÁVEL, DN 20 MM (1/2"), PARA CIRCUITOS TERMINAIS, INSTALADA EM FORRO - FORNECIMENTO E INSTALAÇÃO. AF_12/2015</t>
  </si>
  <si>
    <t>CURVA 180 GRAUS PARA ELETRODUTO, PVC, ROSCÁVEL, DN 20 MM (1/2"), PARA CIRCUITOS TERMINAIS, INSTALADA EM FORRO - FORNECIMENTO E INSTALAÇÃO. AF_12/2015</t>
  </si>
  <si>
    <t>CURVA 90 GRAUS PARA ELETRODUTO, PVC, ROSCÁVEL, DN 25 MM (3/4"), PARA CIRCUITOS TERMINAIS, INSTALADA EM FORRO - FORNECIMENTO E INSTALAÇÃO. AF_12/2015</t>
  </si>
  <si>
    <t>CURVA 180 GRAUS PARA ELETRODUTO, PVC, ROSCÁVEL, DN 25 MM (3/4"), PARA CIRCUITOS TERMINAIS, INSTALADA EM FORRO - FORNECIMENTO E INSTALAÇÃO. AF_12/2015</t>
  </si>
  <si>
    <t>CURVA 90 GRAUS PARA ELETRODUTO, PVC, ROSCÁVEL, DN 32 MM (1"), PARA CIRCUITOS TERMINAIS, INSTALADA EM FORRO - FORNECIMENTO E INSTALAÇÃO. AF_12/2015</t>
  </si>
  <si>
    <t>CURVA 90 GRAUS PARA ELETRODUTO, PVC, ROSCÁVEL, DN 40 MM (1 1/4"), PARA CIRCUITOS TERMINAIS, INSTALADA EM FORRO - FORNECIMENTO E INSTALAÇÃO. AF_12/2015</t>
  </si>
  <si>
    <t>CURVA 180 GRAUS PARA ELETRODUTO, PVC, ROSCÁVEL, DN 40 MM (1 1/4"), PARA CIRCUITOS TERMINAIS, INSTALADA EM FORRO - FORNECIMENTO E INSTALAÇÃO. AF_12/2015</t>
  </si>
  <si>
    <t>CURVA 90 GRAUS PARA ELETRODUTO, PVC, ROSCÁVEL, DN 20 MM (1/2"), PARA CIRCUITOS TERMINAIS, INSTALADA EM LAJE - FORNECIMENTO E INSTALAÇÃO. AF_12/2015</t>
  </si>
  <si>
    <t>CURVA 180 GRAUS PARA ELETRODUTO, PVC, ROSCÁVEL, DN 20 MM (1/2"), PARA CIRCUITOS TERMINAIS, INSTALADA EM LAJE - FORNECIMENTO E INSTALAÇÃO. AF_12/2015</t>
  </si>
  <si>
    <t>CURVA 90 GRAUS PARA ELETRODUTO, PVC, ROSCÁVEL, DN 25 MM (3/4"), PARA CIRCUITOS TERMINAIS, INSTALADA EM LAJE - FORNECIMENTO E INSTALAÇÃO. AF_12/2015</t>
  </si>
  <si>
    <t>CURVA 180 GRAUS PARA ELETRODUTO, PVC, ROSCÁVEL, DN 32 MM (1"), PARA CIRCUITOS TERMINAIS, INSTALADA EM FORRO - FORNECIMENTO E INSTALAÇÃO. AF_12/2015</t>
  </si>
  <si>
    <t>CURVA 180 GRAUS PARA ELETRODUTO, PVC, ROSCÁVEL, DN 32 MM (1), PARA CIRCUITOS TERMINAIS, INSTALADA EM LAJE - FORNECIMENTO E INSTALAÇÃO. AF_12/2015</t>
  </si>
  <si>
    <t>CURVA 180 GRAUS PARA ELETRODUTO, PVC, ROSCÁVEL, DN 32 MM (1), PARA CIRCUITOS TERMINAIS, INSTALADA EM PAREDE - FORNECIMENTO E INSTALAÇÃO. AF_12/2015</t>
  </si>
  <si>
    <t>CURVA 180 GRAUS PARA ELETRODUTO, PVC, ROSCÁVEL, DN 25 MM (3/4"), PARA CIRCUITOS TERMINAIS, INSTALADA EM LAJE - FORNECIMENTO E INSTALAÇÃO. AF_12/2015</t>
  </si>
  <si>
    <t>CURVA 90 GRAUS PARA ELETRODUTO, PVC, ROSCÁVEL, DN 32 MM (1"), PARA CIRCUITOS TERMINAIS, INSTALADA EM LAJE - FORNECIMENTO E INSTALAÇÃO. AF_12/2015</t>
  </si>
  <si>
    <t>CURVA 90 GRAUS PARA ELETRODUTO, PVC, ROSCÁVEL, DN 40 MM (1 1/4"), PARA CIRCUITOS TERMINAIS, INSTALADA EM LAJE - FORNECIMENTO E INSTALAÇÃO. AF_12/2015</t>
  </si>
  <si>
    <t>CURVA 180 GRAUS PARA ELETRODUTO, PVC, ROSCÁVEL, DN 40 MM (1 1/4"), PARA CIRCUITOS TERMINAIS, INSTALADA EM LAJE - FORNECIMENTO E INSTALAÇÃO. AF_12/2015</t>
  </si>
  <si>
    <t>CURVA 90 GRAUS PARA ELETRODUTO, PVC, ROSCÁVEL, DN 20 MM (1/2"), PARA CIRCUITOS TERMINAIS, INSTALADA EM PAREDE - FORNECIMENTO E INSTALAÇÃO. AF_12/2015</t>
  </si>
  <si>
    <t>CURVA 180 GRAUS PARA ELETRODUTO, PVC, ROSCÁVEL, DN 20 MM (1/2"), PARA CIRCUITOS TERMINAIS, INSTALADA EM PAREDE - FORNECIMENTO E INSTALAÇÃO. AF_12/2015</t>
  </si>
  <si>
    <t>CURVA 90 GRAUS PARA ELETRODUTO, PVC, ROSCÁVEL, DN 25 MM (3/4"), PARA CIRCUITOS TERMINAIS, INSTALADA EM PAREDE - FORNECIMENTO E INSTALAÇÃO. AF_12/2015</t>
  </si>
  <si>
    <t>CURVA 180 GRAUS PARA ELETRODUTO, PVC, ROSCÁVEL, DN 25 MM (3/4"), PARA CIRCUITOS TERMINAIS, INSTALADA EM PAREDE - FORNECIMENTO E INSTALAÇÃO. AF_12/2015</t>
  </si>
  <si>
    <t>CURVA 90 GRAUS PARA ELETRODUTO, PVC, ROSCÁVEL, DN 32 MM (1"), PARA CIRCUITOS TERMINAIS, INSTALADA EM PAREDE - FORNECIMENTO E INSTALAÇÃO. AF_12/2015</t>
  </si>
  <si>
    <t>CURVA 90 GRAUS PARA ELETRODUTO, PVC, ROSCÁVEL, DN 40 MM (1 1/4"), PARA CIRCUITOS TERMINAIS, INSTALADA EM PAREDE - FORNECIMENTO E INSTALAÇÃO. AF_12/2015</t>
  </si>
  <si>
    <t>CURVA 180 GRAUS PARA ELETRODUTO, PVC, ROSCÁVEL, DN 40 MM (1 1/4"), PARA CIRCUITOS TERMINAIS, INSTALADA EM PAREDE - FORNECIMENTO E INSTALAÇÃO. AF_12/2015</t>
  </si>
  <si>
    <t>LUVA PARA ELETRODUTO, PVC, ROSCÁVEL, DN 50 MM (1 1/2") - FORNECIMENTO E INSTALAÇÃO. AF_12/2015</t>
  </si>
  <si>
    <t>LUVA PARA ELETRODUTO, PVC, ROSCÁVEL, DN 60 MM (2") - FORNECIMENTO E INSTALAÇÃO. AF_12/2015</t>
  </si>
  <si>
    <t>LUVA PARA ELETRODUTO, PVC, ROSCÁVEL, DN 75 MM (2 1/2") - FORNECIMENTO E INSTALAÇÃO. AF_12/2015</t>
  </si>
  <si>
    <t>LUVA PARA ELETRODUTO, PVC, ROSCÁVEL, DN 85 MM (3") - FORNECIMENTO E INSTALAÇÃO. AF_12/2015</t>
  </si>
  <si>
    <t>LUVA PARA ELETRODUTO, PVC, ROSCÁVEL, DN 110 MM (4") - FORNECIMENTO E INSTALAÇÃO. AF_12/2015</t>
  </si>
  <si>
    <t>CURVA 90 GRAUS PARA ELETRODUTO, PVC, ROSCÁVEL, DN 50 MM (1 1/2") - FORNECIMENTO E INSTALAÇÃO. AF_12/2015</t>
  </si>
  <si>
    <t>CURVA 90 GRAUS PARA ELETRODUTO, PVC, ROSCÁVEL, DN 60 MM (2") - FORNECIMENTO E INSTALAÇÃO. AF_12/2015</t>
  </si>
  <si>
    <t>CURVA 90 GRAUS PARA ELETRODUTO, PVC, ROSCÁVEL, DN 75 MM (2 1/2") - FORNECIMENTO E INSTALAÇÃO. AF_12/2015</t>
  </si>
  <si>
    <t>CURVA 90 GRAUS PARA ELETRODUTO, PVC, ROSCÁVEL, DN 85 MM (3") - FORNECIMENTO E INSTALAÇÃO. AF_12/2015</t>
  </si>
  <si>
    <t>CURVA 90 GRAUS PARA ELETRODUTO, PVC, ROSCÁVEL, DN 110 MM (4") - FORNECIMENTO E INSTALAÇÃO. AF_12/2015</t>
  </si>
  <si>
    <t>CURVA 135 GRAUS PARA ELETRODUTO, PVC, ROSCÁVEL, DN 25 MM (3/4), PARA CIRCUITOS TERMINAIS, INSTALADA EM FORRO - FORNECIMENTO E INSTALAÇÃO. AF_12/2015</t>
  </si>
  <si>
    <t>CURVA 135 GRAUS PARA ELETRODUTO, PVC, ROSCÁVEL, DN 25 MM (3/4), PARA CIRCUITOS TERMINAIS, INSTALADA EM LAJE - FORNECIMENTO E INSTALAÇÃO. AF_12/2015</t>
  </si>
  <si>
    <t>CURVA 135 GRAUS PARA ELETRODUTO, PVC, ROSCÁVEL, DN 25 MM (3/4), PARA CIRCUITOS TERMINAIS, INSTALADA EM PAREDE - FORNECIMENTO E INSTALAÇÃO. AF_12/2015</t>
  </si>
  <si>
    <t>ELETRODUTO RÍGIDO ROSCÁVEL, PVC, DN 20 MM (1/2"), PARA CIRCUITOS TERMINAIS, INSTALADO EM FORRO - FORNECIMENTO E INSTALAÇÃO. AF_12/2015</t>
  </si>
  <si>
    <t>ELETRODUTO RÍGIDO ROSCÁVEL, PVC, DN 25 MM (3/4"), PARA CIRCUITOS TERMINAIS, INSTALADO EM FORRO - FORNECIMENTO E INSTALAÇÃO. AF_12/2015</t>
  </si>
  <si>
    <t>ELETRODUTO RÍGIDO ROSCÁVEL, PVC, DN 32 MM (1"), PARA CIRCUITOS TERMINAIS, INSTALADO EM FORRO - FORNECIMENTO E INSTALAÇÃO. AF_12/2015</t>
  </si>
  <si>
    <t>ELETRODUTO RÍGIDO ROSCÁVEL, PVC, DN 40 MM (1 1/4"), PARA CIRCUITOS TERMINAIS, INSTALADO EM FORRO - FORNECIMENTO E INSTALAÇÃO. AF_12/2015</t>
  </si>
  <si>
    <t>ELETRODUTO RÍGIDO ROSCÁVEL, PVC, DN 20 MM (1/2"), PARA CIRCUITOS TERMINAIS, INSTALADO EM LAJE - FORNECIMENTO E INSTALAÇÃO. AF_12/2015</t>
  </si>
  <si>
    <t>ELETRODUTO RÍGIDO ROSCÁVEL, PVC, DN 25 MM (3/4"), PARA CIRCUITOS TERMINAIS, INSTALADO EM LAJE - FORNECIMENTO E INSTALAÇÃO. AF_12/2015</t>
  </si>
  <si>
    <t>ELETRODUTO RÍGIDO ROSCÁVEL, PVC, DN 32 MM (1"), PARA CIRCUITOS TERMINAIS, INSTALADO EM LAJE - FORNECIMENTO E INSTALAÇÃO. AF_12/2015</t>
  </si>
  <si>
    <t>ELETRODUTO RÍGIDO ROSCÁVEL, PVC, DN 40 MM (1 1/4"), PARA CIRCUITOS TERMINAIS, INSTALADO EM LAJE - FORNECIMENTO E INSTALAÇÃO. AF_12/2015</t>
  </si>
  <si>
    <t>ELETRODUTO RÍGIDO ROSCÁVEL, PVC, DN 20 MM (1/2"), PARA CIRCUITOS TERMINAIS, INSTALADO EM PAREDE - FORNECIMENTO E INSTALAÇÃO. AF_12/2015</t>
  </si>
  <si>
    <t>ELETRODUTO RÍGIDO ROSCÁVEL, PVC, DN 25 MM (3/4"), PARA CIRCUITOS TERMINAIS, INSTALADO EM PAREDE - FORNECIMENTO E INSTALAÇÃO. AF_12/2015</t>
  </si>
  <si>
    <t>ELETRODUTO RÍGIDO ROSCÁVEL, PVC, DN 32 MM (1"), PARA CIRCUITOS TERMINAIS, INSTALADO EM PAREDE - FORNECIMENTO E INSTALAÇÃO. AF_12/2015</t>
  </si>
  <si>
    <t>ELETRODUTO RÍGIDO ROSCÁVEL, PVC, DN 40 MM (1 1/4"), PARA CIRCUITOS TERMINAIS, INSTALADO EM PAREDE - FORNECIMENTO E INSTALAÇÃO. AF_12/2015</t>
  </si>
  <si>
    <t>ELETRODUTO RÍGIDO ROSCÁVEL, PVC, DN 50 MM (1 1/2") - FORNECIMENTO E INSTALAÇÃO. AF_12/2015</t>
  </si>
  <si>
    <t>ELETRODUTO RÍGIDO ROSCÁVEL, PVC, DN 60 MM (2") - FORNECIMENTO E INSTALAÇÃO. AF_12/2015</t>
  </si>
  <si>
    <t>ELETRODUTO RÍGIDO ROSCÁVEL, PVC, DN 75 MM (2 1/2") - FORNECIMENTO E INSTALAÇÃO. AF_12/2015</t>
  </si>
  <si>
    <t>ELETRODUTO RÍGIDO ROSCÁVEL, PVC, DN 85 MM (3") - FORNECIMENTO E INSTALAÇÃO. AF_12/2015</t>
  </si>
  <si>
    <t>ELETRODUTO RÍGIDO ROSCÁVEL, PVC, DN 110 MM (4") - FORNECIMENTO E INSTALAÇÃO. AF_12/2015</t>
  </si>
  <si>
    <t>ELETRODUTO RÍGIDO SOLDÁVEL, PVC, DN 20 MM (½), APARENTE, INSTALADO EM TETO - FORNECIMENTO E INSTALAÇÃO. AF_11/2016_P</t>
  </si>
  <si>
    <t>ELETRODUTO RÍGIDO SOLDÁVEL, PVC, DN 25 MM (3/4), APARENTE, INSTALADO EM TETO - FORNECIMENTO E INSTALAÇÃO. AF_11/2016_P</t>
  </si>
  <si>
    <t>ELETRODUTO RÍGIDO SOLDÁVEL, PVC, DN 32 MM (1), APARENTE, INSTALADO EM TETO - FORNECIMENTO E INSTALAÇÃO. AF_11/2016_P</t>
  </si>
  <si>
    <t>ELETRODUTO RÍGIDO SOLDÁVEL, PVC, DN 20 MM (½), APARENTE, INSTALADO EM PAREDE - FORNECIMENTO E INSTALAÇÃO. AF_11/2016_P</t>
  </si>
  <si>
    <t>ELETRODUTO RÍGIDO SOLDÁVEL, PVC, DN 25 MM (3/4), APARENTE, INSTALADO EM PAREDE - FORNECIMENTO E INSTALAÇÃO. AF_11/2016_P</t>
  </si>
  <si>
    <t>ELETRODUTO RÍGIDO SOLDÁVEL, PVC, DN 32 MM (1), APARENTE, INSTALADO EM PAREDE - FORNECIMENTO E INSTALAÇÃO. AF_11/2016_P</t>
  </si>
  <si>
    <t>LUVA PARA ELETRODUTO, PVC, SOLDÁVEL, DN 25 MM (3/4), APARENTE, INSTALADA EM TETO - FORNECIMENTO E INSTALAÇÃO. AF_11/2016_P</t>
  </si>
  <si>
    <t>LUVA PARA ELETRODUTO, PVC, SOLDÁVEL, DN 32 MM (1), APARENTE, INSTALADA EM TETO - FORNECIMENTO E INSTALAÇÃO. AF_11/2016_P</t>
  </si>
  <si>
    <t>LUVA PARA ELETRODUTO, PVC, SOLDÁVEL, DN 20 MM (1/2), APARENTE, INSTALADA EM PAREDE - FORNECIMENTO E INSTALAÇÃO. AF_11/2016_P</t>
  </si>
  <si>
    <t>LUVA PARA ELETRODUTO, PVC, SOLDÁVEL, DN 25 MM (3/4), APARENTE, INSTALADA EM PAREDE - FORNECIMENTO E INSTALAÇÃO. AF_11/2016_P</t>
  </si>
  <si>
    <t>LUVA PARA ELETRODUTO, PVC, SOLDÁVEL, DN 32 MM (1), APARENTE, INSTALADA EM PAREDE - FORNECIMENTO E INSTALAÇÃO. AF_11/2016_P</t>
  </si>
  <si>
    <t>LUVA PARA ELETRODUTO, PVC, SOLDÁVEL, DN 20 MM (1/2), APARENTE, INSTALADA EM TETO - FORNECIMENTO E INSTALAÇÃO. AF_11/2016_P</t>
  </si>
  <si>
    <t>ELETRODUTO DE AÇO GALVANIZADO, CLASSE LEVE, DN 20 MM (3/4), APARENTE, INSTALADO EM TETO - FORNECIMENTO E INSTALAÇÃO. AF_11/2016_P</t>
  </si>
  <si>
    <t>ELETRODUTO DE AÇO GALVANIZADO, CLASSE LEVE, DN 25 MM (1), APARENTE, INSTALADO EM TETO - FORNECIMENTO E INSTALAÇÃO. AF_11/2016_P</t>
  </si>
  <si>
    <t>ELETRODUTO DE AÇO GALVANIZADO, CLASSE SEMI PESADO, DN 32 MM (1 1/4), APARENTE, INSTALADO EM TETO - FORNECIMENTO E INSTALAÇÃO. AF_11/2016_P</t>
  </si>
  <si>
    <t>ELETRODUTO DE AÇO GALVANIZADO, CLASSE SEMI PESADO, DN 40 MM (1 1/2 ), APARENTE, INSTALADO EM TETO - FORNECIMENTO E INSTALAÇÃO. AF_11/2016_P</t>
  </si>
  <si>
    <t>ELETRODUTO DE AÇO GALVANIZADO, CLASSE LEVE, DN 20 MM (3/4), APARENTE, INSTALADO EM PAREDE - FORNECIMENTO E INSTALAÇÃO. AF_11/2016_P</t>
  </si>
  <si>
    <t>ELETRODUTO DE AÇO GALVANIZADO, CLASSE LEVE, DN 25 MM (1), APARENTE, INSTALADO EM PAREDE - FORNECIMENTO E INSTALAÇÃO. AF_11/2016_P</t>
  </si>
  <si>
    <t>ELETRODUTO DE AÇO GALVANIZADO, CLASSE SEMI PESADO, DN 32 MM (1 1/4), APARENTE, INSTALADO EM PAREDE - FORNECIMENTO E INSTALAÇÃO. AF_11/2016_P</t>
  </si>
  <si>
    <t>ELETRODUTO DE AÇO GALVANIZADO, CLASSE SEMI PESADO, DN 40 MM (1 1/2  ), APARENTE, INSTALADO EM PAREDE - FORNECIMENTO E INSTALAÇÃO. AF_11/2016_P</t>
  </si>
  <si>
    <t>LUVA DE EMENDA PARA ELETRODUTO, AÇO GALVANIZADO, DN 20 MM (3/4  ), APARENTE, INSTALADA EM TETO - FORNECIMENTO E INSTALAÇÃO. AF_11/2016_P</t>
  </si>
  <si>
    <t>LUVA DE EMENDA PARA ELETRODUTO, AÇO GALVANIZADO, DN 25 MM (1''), APARENTE, INSTALADA EM TETO - FORNECIMENTO E INSTALAÇÃO. AF_11/2016_P</t>
  </si>
  <si>
    <t>LUVA DE EMENDA PARA ELETRODUTO, AÇO GALVANIZADO, DN 32 MM (1 1/4''), APARENTE, INSTALADA EM TETO - FORNECIMENTO E INSTALAÇÃO. AF_11/2016_P</t>
  </si>
  <si>
    <t>LUVA DE EMENDA PARA ELETRODUTO, AÇO GALVANIZADO, DN 40 MM (1 1/2''), APARENTE, INSTALADA EM TETO - FORNECIMENTO E INSTALAÇÃO. AF_11/2016_P</t>
  </si>
  <si>
    <t>LUVA DE EMENDA PARA ELETRODUTO, AÇO GALVANIZADO, DN 20 MM (3/4''), APARENTE, INSTALADA EM PAREDE - FORNECIMENTO E INSTALAÇÃO. AF_11/2016_P</t>
  </si>
  <si>
    <t>LUVA DE EMENDA PARA ELETRODUTO, AÇO GALVANIZADO, DN 25 MM (1''), APARENTE, INSTALADA EM PAREDE - FORNECIMENTO E INSTALAÇÃO. AF_11/2016_P</t>
  </si>
  <si>
    <t>LUVA DE EMENDA PARA ELETRODUTO, AÇO GALVANIZADO, DN 32 MM (1 1/4''), APARENTE, INSTALADA EM PAREDE - FORNECIMENTO E INSTALAÇÃO. AF_11/2016_P</t>
  </si>
  <si>
    <t>LUVA DE EMENDA PARA ELETRODUTO, AÇO GALVANIZADO, DN 40 MM (1 1/2''), APARENTE, INSTALADA EM PAREDE - FORNECIMENTO E INSTALAÇÃO. AF_11/2016_P</t>
  </si>
  <si>
    <t>ELETRODUTO FLEXÍVEL LISO, PEAD, DN 32 MM (1"), PARA CIRCUITOS TERMINAIS, INSTALADO EM FORRO - FORNECIMENTO E INSTALAÇÃO. AF_12/2015</t>
  </si>
  <si>
    <t>ELETRODUTO FLEXÍVEL CORRUGADO, PEAD, DN 40 MM (1 1/4"), PARA CIRCUITOS TERMINAIS, INSTALADO EM FORRO - FORNECIMENTO E INSTALAÇÃO. AF_12/2015</t>
  </si>
  <si>
    <t>ELETRODUTO FLEXÍVEL LISO, PEAD, DN 40 MM (1 1/4"), PARA CIRCUITOS TERMINAIS, INSTALADO EM FORRO - FORNECIMENTO E INSTALAÇÃO. AF_12/2015</t>
  </si>
  <si>
    <t>ELETRODUTO FLEXÍVEL LISO, PEAD, DN 32 MM (1"), PARA CIRCUITOS TERMINAIS, INSTALADO EM LAJE - FORNECIMENTO E INSTALAÇÃO. AF_12/2015</t>
  </si>
  <si>
    <t>ELETRODUTO FLEXÍVEL CORRUGADO, PEAD, DN 40 MM (1 1/4"), PARA CIRCUITOS TERMINAIS, INSTALADO EM LAJE - FORNECIMENTO E INSTALAÇÃO. AF_12/2015</t>
  </si>
  <si>
    <t>ELETRODUTO FLEXÍVEL LISO, PEAD, DN 40 MM (1 1/4"), PARA CIRCUITOS TERMINAIS, INSTALADO EM LAJE - FORNECIMENTO E INSTALAÇÃO. AF_12/2015</t>
  </si>
  <si>
    <t>ELETRODUTO FLEXÍVEL LISO, PEAD, DN 32 MM (1"), PARA CIRCUITOS TERMINAIS, INSTALADO EM PAREDE - FORNECIMENTO E INSTALAÇÃO. AF_12/2015</t>
  </si>
  <si>
    <t>ELETRODUTO FLEXÍVEL CORRUGADO, PEAD, DN 40 MM (1 1/4"), PARA CIRCUITOS TERMINAIS, INSTALADO EM PAREDE - FORNECIMENTO E INSTALAÇÃO. AF_12/2015</t>
  </si>
  <si>
    <t>ELETRODUTO FLEXÍVEL LISO, PEAD, DN 40 MM (1 1/4"), PARA CIRCUITOS TERMINAIS, INSTALADO EM PAREDE - FORNECIMENTO E INSTALAÇÃO. AF_12/2015</t>
  </si>
  <si>
    <t>ELETRODUTO FLEXÍVEL CORRUGADO, PEAD, DN 50 (1 ½)  - FORNECIMENTO E INSTALAÇÃO. AF_04/2016</t>
  </si>
  <si>
    <t>ELETRODUTO FLEXÍVEL CORRUGADO, PEAD, DN 63 (2")  - FORNECIMENTO E INSTALAÇÃO. AF_04/2016</t>
  </si>
  <si>
    <t>ELETRODUTO FLEXÍVEL CORRUGADO, PEAD, DN 90 (3) - FORNECIMENTO E INSTALAÇÃO. AF_04/2016</t>
  </si>
  <si>
    <t>ELETRODUTO FLEXÍVEL CORRUGADO, PEAD, DN 100 (4) - FORNECIMENTO E INSTALAÇÃO. AF_04/2016</t>
  </si>
  <si>
    <t>CABO DE COBRE FLEXÍVEL ISOLADO, 1,5 MM², ANTI-CHAMA 450/750 V, PARA CIRCUITOS TERMINAIS - FORNECIMENTO E INSTALAÇÃO. AF_12/2015</t>
  </si>
  <si>
    <t>CABO DE COBRE FLEXÍVEL ISOLADO, 2,5 MM², ANTI-CHAMA 450/750 V, PARA CIRCUITOS TERMINAIS - FORNECIMENTO E INSTALAÇÃO. AF_12/2015</t>
  </si>
  <si>
    <t>CABO DE COBRE FLEXÍVEL ISOLADO, 4 MM², ANTI-CHAMA 450/750 V, PARA CIRCUITOS TERMINAIS - FORNECIMENTO E INSTALAÇÃO. AF_12/2015</t>
  </si>
  <si>
    <t>CABO DE COBRE FLEXÍVEL ISOLADO, 6 MM², ANTI-CHAMA 450/750 V, PARA CIRCUITOS TERMINAIS - FORNECIMENTO E INSTALAÇÃO. AF_12/2015</t>
  </si>
  <si>
    <t>CABO DE COBRE FLEXÍVEL ISOLADO, 10 MM², ANTI-CHAMA 450/750 V, PARA CIRCUITOS TERMINAIS - FORNECIMENTO E INSTALAÇÃO. AF_12/2015</t>
  </si>
  <si>
    <t>CABO DE COBRE FLEXÍVEL ISOLADO, 16 MM², ANTI-CHAMA 450/750 V, PARA CIRCUITOS TERMINAIS - FORNECIMENTO E INSTALAÇÃO. AF_12/2015</t>
  </si>
  <si>
    <t>CABO DE COBRE FLEXÍVEL ISOLADO, 10 MM², ANTI-CHAMA 450/750 V, PARA DISTRIBUIÇÃO - FORNECIMENTO E INSTALAÇÃO. AF_12/2015</t>
  </si>
  <si>
    <t>CABO DE COBRE FLEXÍVEL ISOLADO, 16 MM², ANTI-CHAMA 450/750 V, PARA DISTRIBUIÇÃO - FORNECIMENTO E INSTALAÇÃO. AF_12/2015</t>
  </si>
  <si>
    <t>CABO DE COBRE FLEXÍVEL ISOLADO, 1,5 MM², ANTI-CHAMA 0,6/1,0 KV, PARA CIRCUITOS TERMINAIS - FORNECIMENTO E INSTALAÇÃO. AF_12/2015</t>
  </si>
  <si>
    <t>CABO DE COBRE FLEXÍVEL ISOLADO, 2,5 MM², ANTI-CHAMA 0,6/1,0 KV, PARA CIRCUITOS TERMINAIS - FORNECIMENTO E INSTALAÇÃO. AF_12/2015</t>
  </si>
  <si>
    <t>CABO DE COBRE FLEXÍVEL ISOLADO, 4 MM², ANTI-CHAMA 0,6/1,0 KV, PARA CIRCUITOS TERMINAIS - FORNECIMENTO E INSTALAÇÃO. AF_12/2015</t>
  </si>
  <si>
    <t>CABO DE COBRE FLEXÍVEL ISOLADO, 6 MM², ANTI-CHAMA 0,6/1,0 KV, PARA CIRCUITOS TERMINAIS - FORNECIMENTO E INSTALAÇÃO. AF_12/2015</t>
  </si>
  <si>
    <t>CABO DE COBRE FLEXÍVEL ISOLADO, 10 MM², ANTI-CHAMA 0,6/1,0 KV, PARA CIRCUITOS TERMINAIS - FORNECIMENTO E INSTALAÇÃO. AF_12/2015</t>
  </si>
  <si>
    <t>CABO DE COBRE FLEXÍVEL ISOLADO, 16 MM², ANTI-CHAMA 0,6/1,0 KV, PARA CIRCUITOS TERMINAIS - FORNECIMENTO E INSTALAÇÃO. AF_12/2015</t>
  </si>
  <si>
    <t>CABO DE COBRE FLEXÍVEL ISOLADO, 10 MM², ANTI-CHAMA 0,6/1,0 KV, PARA DISTRIBUIÇÃO - FORNECIMENTO E INSTALAÇÃO. AF_12/2015</t>
  </si>
  <si>
    <t>CABO DE COBRE FLEXÍVEL ISOLADO, 16 MM², ANTI-CHAMA 0,6/1,0 KV, PARA DISTRIBUIÇÃO - FORNECIMENTO E INSTALAÇÃO. AF_12/2015</t>
  </si>
  <si>
    <t>CABO DE COBRE FLEXÍVEL ISOLADO, 25 MM², ANTI-CHAMA 0,6/1,0 KV, PARA DISTRIBUIÇÃO - FORNECIMENTO E INSTALAÇÃO. AF_12/2015</t>
  </si>
  <si>
    <t>CABO DE COBRE FLEXÍVEL ISOLADO, 35 MM², ANTI-CHAMA 0,6/1,0 KV, PARA DISTRIBUIÇÃO - FORNECIMENTO E INSTALAÇÃO. AF_12/2015</t>
  </si>
  <si>
    <t>CABO DE COBRE FLEXÍVEL ISOLADO, 50 MM², ANTI-CHAMA 0,6/1,0 KV, PARA DISTRIBUIÇÃO - FORNECIMENTO E INSTALAÇÃO. AF_12/2015</t>
  </si>
  <si>
    <t>CABO DE COBRE FLEXÍVEL ISOLADO, 70 MM², ANTI-CHAMA 0,6/1,0 KV, PARA DISTRIBUIÇÃO - FORNECIMENTO E INSTALAÇÃO. AF_12/2015</t>
  </si>
  <si>
    <t>CABO DE COBRE FLEXÍVEL ISOLADO, 95 MM², ANTI-CHAMA 0,6/1,0 KV, PARA DISTRIBUIÇÃO - FORNECIMENTO E INSTALAÇÃO. AF_12/2015</t>
  </si>
  <si>
    <t>CABO DE COBRE FLEXÍVEL ISOLADO, 120 MM², ANTI-CHAMA 0,6/1,0 KV, PARA DISTRIBUIÇÃO - FORNECIMENTO E INSTALAÇÃO. AF_12/2015</t>
  </si>
  <si>
    <t>CABO DE COBRE FLEXÍVEL ISOLADO, 150 MM², ANTI-CHAMA 0,6/1,0 KV, PARA DISTRIBUIÇÃO - FORNECIMENTO E INSTALAÇÃO. AF_12/2015</t>
  </si>
  <si>
    <t>CABO DE COBRE FLEXÍVEL ISOLADO, 185 MM², ANTI-CHAMA 0,6/1,0 KV, PARA DISTRIBUIÇÃO - FORNECIMENTO E INSTALAÇÃO. AF_12/2015</t>
  </si>
  <si>
    <t>CABO DE COBRE FLEXÍVEL ISOLADO, 240 MM², ANTI-CHAMA 0,6/1,0 KV, PARA DISTRIBUIÇÃO - FORNECIMENTO E INSTALAÇÃO. AF_12/2015</t>
  </si>
  <si>
    <t>CABO DE COBRE FLEXÍVEL ISOLADO, 300 MM², ANTI-CHAMA 0,6/1,0 KV, PARA DISTRIBUIÇÃO - FORNECIMENTO E INSTALAÇÃO. AF_12/2015</t>
  </si>
  <si>
    <t>CABO DE COBRE ISOLADO, 10 MM², ANTI-CHAMA 450/750 V, INSTALADO EM ELETROCALHA OU PERFILADO - FORNECIMENTO E INSTALAÇÃO. AF_10/2020</t>
  </si>
  <si>
    <t>CABO DE COBRE ISOLADO, 10 MM², ANTI-CHAMA 0,6/1 KV, INSTALADO EM ELETROCALHA OU PERFILADO - FORNECIMENTO E INSTALAÇÃO. AF_10/2020</t>
  </si>
  <si>
    <t>CABO DE COBRE ISOLADO, 16 MM², ANTI-CHAMA 450/750 V, INSTALADO EM ELETROCALHA OU PERFILADO - FORNECIMENTO E INSTALAÇÃO. AF_10/2020</t>
  </si>
  <si>
    <t>CABO DE COBRE ISOLADO, 16 MM², ANTI-CHAMA 0,6/1 KV, INSTALADO EM ELETROCALHA OU PERFILADO - FORNECIMENTO E INSTALAÇÃO. AF_10/2020</t>
  </si>
  <si>
    <t>CABO DE COBRE ISOLADO, 25 MM², ANTI-CHAMA 450/750 V, INSTALADO EM ELETROCALHA OU PERFILADO - FORNECIMENTO E INSTALAÇÃO. AF_10/2020</t>
  </si>
  <si>
    <t>CABO DE COBRE ISOLADO, 25 MM², ANTI-CHAMA 0,6/1 KV, INSTALADO EM ELETROCALHA OU PERFILADO - FORNECIMENTO E INSTALAÇÃO. AF_10/2020</t>
  </si>
  <si>
    <t>CABO DE COBRE FLEXÍVEL ISOLADO, 10 MM², 0,6/1,0 KV, PARA REDE AÉREA DE DISTRIBUIÇÃO DE ENERGIA ELÉTRICA DE BAIXA TENSÃO - FORNECIMENTO E INSTALAÇÃO. AF_07/2020</t>
  </si>
  <si>
    <t>CABO DE COBRE FLEXÍVEL ISOLADO, 16 MM², 0,6/1,0 KV, PARA REDE AÉREA DE DISTRIBUIÇÃO DE ENERGIA ELÉTRICA DE BAIXA TENSÃO - FORNECIMENTO E INSTALAÇÃO. AF_07/2020</t>
  </si>
  <si>
    <t>CABO DE COBRE FLEXÍVEL ISOLADO, 25 MM², 0,6/1,0 KV, PARA REDE AÉREA DE DISTRIBUIÇÃO DE ENERGIA ELÉTRICA DE BAIXA TENSÃO - FORNECIMENTO E INSTALAÇÃO. AF_07/2020</t>
  </si>
  <si>
    <t>CABO DE COBRE FLEXÍVEL ISOLADO, 35 MM², 0,6/1,0 KV, PARA REDE AÉREA DE DISTRIBUIÇÃO DE ENERGIA ELÉTRICA DE BAIXA TENSÃO - FORNECIMENTO E INSTALAÇÃO. AF_07/2020</t>
  </si>
  <si>
    <t>CABO DE COBRE FLEXÍVEL ISOLADO, 50 MM², 0,6/1,0 KV, PARA REDE AÉREA DE DISTRIBUIÇÃO DE ENERGIA ELÉTRICA DE BAIXA TENSÃO - FORNECIMENTO E INSTALAÇÃO. AF_07/2020</t>
  </si>
  <si>
    <t>CABO DE COBRE FLEXÍVEL ISOLADO, 70 MM², 0,6/1,0 KV, PARA REDE AÉREA DE DISTRIBUIÇÃO DE ENERGIA ELÉTRICA DE BAIXA TENSÃO - FORNECIMENTO E INSTALAÇÃO. AF_07/2020</t>
  </si>
  <si>
    <t>CABO DE COBRE FLEXÍVEL ISOLADO, 95 MM², 0,6/1,0 KV, PARA REDE AÉREA DE DISTRIBUIÇÃO DE ENERGIA ELÉTRICA DE BAIXA TENSÃO - FORNECIMENTO E INSTALAÇÃO. AF_07/2020</t>
  </si>
  <si>
    <t>CABO DE COBRE FLEXÍVEL ISOLADO, 120 MM², 0,6/1,0 KV, PARA REDE AÉREA DE DISTRIBUIÇÃO DE ENERGIA ELÉTRICA DE BAIXA TENSÃO - FORNECIMENTO E INSTALAÇÃO. AF_07/2020</t>
  </si>
  <si>
    <t>CONDULETE DE ALUMÍNIO, TIPO B, PARA ELETRODUTO DE AÇO GALVANIZADO DN 20 MM (3/4''), APARENTE - FORNECIMENTO E INSTALAÇÃO. AF_11/2016_P</t>
  </si>
  <si>
    <t>CONDULETE DE ALUMÍNIO, TIPO C, PARA ELETRODUTO DE AÇO GALVANIZADO DN 20 MM (3/4''), APARENTE - FORNECIMENTO E INSTALAÇÃO. AF_11/2016_P</t>
  </si>
  <si>
    <t>CONDULETE DE ALUMÍNIO, TIPO E, PARA ELETRODUTO DE AÇO GALVANIZADO DN 20 MM (3/4''), APARENTE - FORNECIMENTO E INSTALAÇÃO. AF_11/2016_P</t>
  </si>
  <si>
    <t>CONDULETE DE ALUMÍNIO, TIPO B, PARA ELETRODUTO DE AÇO GALVANIZADO DN 25 MM (1''), APARENTE - FORNECIMENTO E INSTALAÇÃO. AF_11/2016_P</t>
  </si>
  <si>
    <t>CONDULETE DE ALUMÍNIO, TIPO C, PARA ELETRODUTO DE AÇO GALVANIZADO DN 25 MM (1''), APARENTE - FORNECIMENTO E INSTALAÇÃO. AF_11/2016_P</t>
  </si>
  <si>
    <t>CONDULETE DE ALUMÍNIO, TIPO E, ELETRODUTO DE AÇO GALVANIZADO DN 25 MM (1''), APARENTE - FORNECIMENTO E INSTALAÇÃO. AF_11/2016_P</t>
  </si>
  <si>
    <t>CONDULETE DE ALUMÍNIO, TIPO E, PARA ELETRODUTO DE AÇO GALVANIZADO DN 32 MM (1 1/4''), APARENTE - FORNECIMENTO E INSTALAÇÃO. AF_11/2016_P</t>
  </si>
  <si>
    <t>CONDULETE DE ALUMÍNIO, TIPO LR, PARA ELETRODUTO DE AÇO GALVANIZADO DN 20 MM (3/4''), APARENTE - FORNECIMENTO E INSTALAÇÃO. AF_11/2016_P</t>
  </si>
  <si>
    <t>CONDULETE DE ALUMÍNIO, TIPO LR, PARA ELETRODUTO DE AÇO GALVANIZADO DN 25 MM (1''), APARENTE - FORNECIMENTO E INSTALAÇÃO. AF_11/2016_P</t>
  </si>
  <si>
    <t>CONDULETE DE ALUMÍNIO, TIPO LR, PARA ELETRODUTO DE AÇO GALVANIZADO DN 32 MM (1 1/4''), APARENTE - FORNECIMENTO E INSTALAÇÃO. AF_11/2016_P</t>
  </si>
  <si>
    <t>CONDULETE DE ALUMÍNIO, TIPO T, PARA ELETRODUTO DE AÇO GALVANIZADO DN 20 MM (3/4''), APARENTE - FORNECIMENTO E INSTALAÇÃO. AF_11/2016_P</t>
  </si>
  <si>
    <t>CONDULETE DE ALUMÍNIO, TIPO T, PARA ELETRODUTO DE AÇO GALVANIZADO DN 25 MM (1''), APARENTE - FORNECIMENTO E INSTALAÇÃO. AF_11/2016_P</t>
  </si>
  <si>
    <t>CONDULETE DE ALUMÍNIO, TIPO T, PARA ELETRODUTO DE AÇO GALVANIZADO DN 32 MM (1 1/4''), APARENTE - FORNECIMENTO E INSTALAÇÃO. AF_11/2016_P</t>
  </si>
  <si>
    <t>CONDULETE DE ALUMÍNIO, TIPO X, PARA ELETRODUTO DE AÇO GALVANIZADO DN 20 MM (3/4''), APARENTE - FORNECIMENTO E INSTALAÇÃO. AF_11/2016_P</t>
  </si>
  <si>
    <t>CONDULETE DE ALUMÍNIO, TIPO X, PARA ELETRODUTO DE AÇO GALVANIZADO DN 25 MM (1''), APARENTE - FORNECIMENTO E INSTALAÇÃO. AF_11/2016_P</t>
  </si>
  <si>
    <t>CONDULETE DE ALUMÍNIO, TIPO X, PARA ELETRODUTO DE AÇO GALVANIZADO DN 32 MM (1 1/4''), APARENTE - FORNECIMENTO E INSTALAÇÃO. AF_11/2016_P</t>
  </si>
  <si>
    <t>CONDULETE DE PVC, TIPO B, PARA ELETRODUTO DE PVC SOLDÁVEL DN 20 MM (1/2''), APARENTE - FORNECIMENTO E INSTALAÇÃO. AF_11/2016</t>
  </si>
  <si>
    <t>CONDULETE DE PVC, TIPO B, PARA ELETRODUTO DE PVC SOLDÁVEL DN 25 MM (3/4''), APARENTE - FORNECIMENTO E INSTALAÇÃO. AF_11/2016</t>
  </si>
  <si>
    <t>CONDULETE DE PVC, TIPO B, PARA ELETRODUTO DE PVC SOLDÁVEL DN 32 MM (1''), APARENTE - FORNECIMENTO E INSTALAÇÃO. AF_11/2016</t>
  </si>
  <si>
    <t>CONDULETE DE PVC, TIPO LL, PARA ELETRODUTO DE PVC SOLDÁVEL DN 20 MM (1/2''), APARENTE - FORNECIMENTO E INSTALAÇÃO. AF_11/2016</t>
  </si>
  <si>
    <t>CONDULETE DE PVC, TIPO LL, PARA ELETRODUTO DE PVC SOLDÁVEL DN 25 MM (3/4''), APARENTE - FORNECIMENTO E INSTALAÇÃO. AF_11/2016</t>
  </si>
  <si>
    <t>CONDULETE DE PVC, TIPO LL, PARA ELETRODUTO DE PVC SOLDÁVEL DN 32 MM (1''), APARENTE - FORNECIMENTO E INSTALAÇÃO. AF_11/2016</t>
  </si>
  <si>
    <t>CONDULETE DE PVC, TIPO LB, PARA ELETRODUTO DE PVC SOLDÁVEL DN 20 MM (1/2''), APARENTE - FORNECIMENTO E INSTALAÇÃO. AF_11/2016</t>
  </si>
  <si>
    <t>CONDULETE DE PVC, TIPO LB, PARA ELETRODUTO DE PVC SOLDÁVEL DN 25 MM (3/4''), APARENTE - FORNECIMENTO E INSTALAÇÃO. AF_11/2016</t>
  </si>
  <si>
    <t>CONDULETE DE PVC, TIPO LB, PARA ELETRODUTO DE PVC SOLDÁVEL DN 32 MM (1''), APARENTE - FORNECIMENTO E INSTALAÇÃO. AF_11/2016</t>
  </si>
  <si>
    <t>CONDULETE DE PVC, TIPO TB, PARA ELETRODUTO DE PVC SOLDÁVEL DN 20 MM (1/2''), APARENTE - FORNECIMENTO E INSTALAÇÃO. AF_11/2016</t>
  </si>
  <si>
    <t>CONDULETE DE PVC, TIPO TB, PARA ELETRODUTO DE PVC SOLDÁVEL DN 25 MM (3/4''), APARENTE - FORNECIMENTO E INSTALAÇÃO. AF_11/2016</t>
  </si>
  <si>
    <t>CONDULETE DE PVC, TIPO TB, PARA ELETRODUTO DE PVC SOLDÁVEL DN 32 MM (1''), APARENTE - FORNECIMENTO E INSTALAÇÃO. AF_11/2016</t>
  </si>
  <si>
    <t>CONDULETE DE PVC, TIPO X, PARA ELETRODUTO DE PVC SOLDÁVEL DN 20 MM (1/2''), APARENTE - FORNECIMENTO E INSTALAÇÃO. AF_11/2016</t>
  </si>
  <si>
    <t>CONDULETE DE PVC, TIPO X, PARA ELETRODUTO DE PVC SOLDÁVEL DN 25 MM (3/4''), APARENTE - FORNECIMENTO E INSTALAÇÃO. AF_11/2016</t>
  </si>
  <si>
    <t>CONDULETE DE PVC, TIPO X, PARA ELETRODUTO DE PVC SOLDÁVEL DN 32 MM (1''), APARENTE - FORNECIMENTO E INSTALAÇÃO. AF_11/2016</t>
  </si>
  <si>
    <t>CAIXA OCTOGONAL 4" X 4", PVC, INSTALADA EM LAJE - FORNECIMENTO E INSTALAÇÃO. AF_12/2015</t>
  </si>
  <si>
    <t>CAIXA OCTOGONAL 3" X 3", PVC, INSTALADA EM LAJE - FORNECIMENTO E INSTALAÇÃO. AF_12/2015</t>
  </si>
  <si>
    <t>CAIXA RETANGULAR 4" X 2" ALTA (2,00 M DO PISO), PVC, INSTALADA EM PAREDE - FORNECIMENTO E INSTALAÇÃO. AF_12/2015</t>
  </si>
  <si>
    <t>CAIXA RETANGULAR 4" X 2" MÉDIA (1,30 M DO PISO), PVC, INSTALADA EM PAREDE - FORNECIMENTO E INSTALAÇÃO. AF_12/2015</t>
  </si>
  <si>
    <t>CAIXA RETANGULAR 4" X 2" BAIXA (0,30 M DO PISO), PVC, INSTALADA EM PAREDE - FORNECIMENTO E INSTALAÇÃO. AF_12/2015</t>
  </si>
  <si>
    <t>CAIXA RETANGULAR 4" X 4" ALTA (2,00 M DO PISO), PVC, INSTALADA EM PAREDE - FORNECIMENTO E INSTALAÇÃO. AF_12/2015</t>
  </si>
  <si>
    <t>CAIXA RETANGULAR 4" X 4" MÉDIA (1,30 M DO PISO), PVC, INSTALADA EM PAREDE - FORNECIMENTO E INSTALAÇÃO. AF_12/2015</t>
  </si>
  <si>
    <t>CAIXA RETANGULAR 4" X 4" BAIXA (0,30 M DO PISO), PVC, INSTALADA EM PAREDE - FORNECIMENTO E INSTALAÇÃO. AF_12/2015</t>
  </si>
  <si>
    <t>CAIXA OCTOGONAL 4" X 4", METÁLICA, INSTALADA EM LAJE - FORNECIMENTO E INSTALAÇÃO. AF_12/2015</t>
  </si>
  <si>
    <t>CAIXA SEXTAVADA 3" X 3", METÁLICA, INSTALADA EM LAJE - FORNECIMENTO E INSTALAÇÃO. AF_12/2015</t>
  </si>
  <si>
    <t>CAIXA RETANGULAR 4" X 2" ALTA (2,00 M DO PISO), METÁLICA, INSTALADA EM PAREDE - FORNECIMENTO E INSTALAÇÃO. AF_12/2015</t>
  </si>
  <si>
    <t>CAIXA RETANGULAR 4" X 2" MÉDIA (1,30 M DO PISO), METÁLICA, INSTALADA EM PAREDE - FORNECIMENTO E INSTALAÇÃO. AF_12/2015</t>
  </si>
  <si>
    <t>CAIXA RETANGULAR 4" X 2" BAIXA (0,30 M DO PISO), METÁLICA, INSTALADA EM PAREDE - FORNECIMENTO E INSTALAÇÃO. AF_12/2015</t>
  </si>
  <si>
    <t>CAIXA RETANGULAR 4" X 4" ALTA (2,00 M DO PISO), METÁLICA, INSTALADA EM PAREDE - FORNECIMENTO E INSTALAÇÃO. AF_12/2015</t>
  </si>
  <si>
    <t>CAIXA RETANGULAR 4" X 4" MÉDIA (1,30 M DO PISO), METÁLICA, INSTALADA EM PAREDE - FORNECIMENTO E INSTALAÇÃO. AF_12/2015</t>
  </si>
  <si>
    <t>CAIXA RETANGULAR 4" X 4" BAIXA (0,30 M DO PISO), METÁLICA, INSTALADA EM PAREDE - FORNECIMENTO E INSTALAÇÃO. AF_12/2015</t>
  </si>
  <si>
    <t>CAIXA ENTERRADA ELÉTRICA RETANGULAR, EM ALVENARIA COM TIJOLOS CERÂMICOS MACIÇOS, FUNDO COM BRITA, DIMENSÕES INTERNAS: 0,3X0,3X0,3 M. AF_12/2020</t>
  </si>
  <si>
    <t>CAIXA ENTERRADA ELÉTRICA RETANGULAR, EM ALVENARIA COM TIJOLOS CERÂMICOS MACIÇOS, FUNDO COM BRITA, DIMENSÕES INTERNAS: 0,4X0,4X0,4 M. AF_12/2020</t>
  </si>
  <si>
    <t>CAIXA ENTERRADA ELÉTRICA RETANGULAR, EM ALVENARIA COM TIJOLOS CERÂMICOS MACIÇOS, FUNDO COM BRITA, DIMENSÕES INTERNAS: 0,6X0,6X0,6 M. AF_12/2020</t>
  </si>
  <si>
    <t>CAIXA ENTERRADA ELÉTRICA RETANGULAR, EM ALVENARIA COM TIJOLOS CERÂMICOS MACIÇOS, FUNDO COM BRITA, DIMENSÕES INTERNAS: 0,8X0,8X0,6 M. AF_12/2020</t>
  </si>
  <si>
    <t>CAIXA ENTERRADA ELÉTRICA RETANGULAR, EM ALVENARIA COM TIJOLOS CERÂMICOS MACIÇOS, FUNDO COM BRITA, DIMENSÕES INTERNAS: 1X1X0,6 M. AF_12/2020</t>
  </si>
  <si>
    <t>CAIXA COM GRELHA SIMPLES RETANGULAR, EM CONCRETO PRÉ-MOLDADO, DIMENSÕES INTERNAS: 0,6X1,0X1,0 M. AF_12/2020</t>
  </si>
  <si>
    <t>CAIXA COM GRELHA SIMPLES RETANGULAR, EM ALVENARIA COM TIJOLOS CERÂMICOS MACIÇOS, DIMENSÕES INTERNAS: 0,5X1X1 M. AF_12/2020</t>
  </si>
  <si>
    <t>CAIXA COM GRELHA DUPLA RETANGULAR, EM ALVENARIA COM TIJOLOS CERÂMICOS MACIÇOS, DIMENSÕES INTERNAS: 0,5X2,2X1 M. AF_12/2020</t>
  </si>
  <si>
    <t>CAIXA COM GRELHA SIMPLES RETANGULAR, EM ALVENARIA COM BLOCOS DE CONCRETO, DIMENSÕES INTERNAS: 0,5X1X1 M. AF_12/2020</t>
  </si>
  <si>
    <t>CAIXA COM GRELHA DUPLA RETANGULAR, EM ALVENARIA COM BLOCOS DE CONCRETO, DIMENSÕES INTERNAS: 0,5X2,2X1 M. AF_12/2020</t>
  </si>
  <si>
    <t>CAIXA ENTERRADA ELÉTRICA RETANGULAR, EM ALVENARIA COM BLOCOS DE CONCRETO, FUNDO COM BRITA, DIMENSÕES INTERNAS: 0,4X0,4X0,4 M. AF_12/2020</t>
  </si>
  <si>
    <t>CAIXA ENTERRADA ELÉTRICA RETANGULAR, EM ALVENARIA COM BLOCOS DE CONCRETO, FUNDO COM BRITA, DIMENSÕES INTERNAS: 0,6X0,6X0,6 M. AF_12/2020</t>
  </si>
  <si>
    <t>CAIXA ENTERRADA ELÉTRICA RETANGULAR, EM ALVENARIA COM BLOCOS DE CONCRETO, FUNDO COM BRITA, DIMENSÕES INTERNAS: 0,8X0,8X0,6 M. AF_12/2020</t>
  </si>
  <si>
    <t>CAIXA ENTERRADA ELÉTRICA RETANGULAR, EM ALVENARIA COM BLOCOS DE CONCRETO, FUNDO COM BRITA, DIMENSÕES INTERNAS: 1X1X0,6 M. AF_12/2020</t>
  </si>
  <si>
    <t>CAIXA ENTERRADA ELÉTRICA RETANGULAR, EM CONCRETO PRÉ-MOLDADO, FUNDO COM BRITA, DIMENSÕES INTERNAS: 0,3X0,3X0,3 M. AF_12/2020</t>
  </si>
  <si>
    <t>CAIXA ENTERRADA ELÉTRICA RETANGULAR, EM CONCRETO PRÉ-MOLDADO, FUNDO COM BRITA, DIMENSÕES INTERNAS: 0,4X0,4X0,4 M. AF_12/2020</t>
  </si>
  <si>
    <t>CAIXA ENTERRADA ELÉTRICA RETANGULAR, EM CONCRETO PRÉ-MOLDADO, FUNDO COM BRITA, DIMENSÕES INTERNAS: 0,6X0,6X0,5 M. AF_12/2020</t>
  </si>
  <si>
    <t>CAIXA ENTERRADA ELÉTRICA RETANGULAR, EM CONCRETO PRÉ-MOLDADO, FUNDO COM BRITA, DIMENSÕES INTERNAS: 0,8X0,8X0,5 M. AF_12/2020</t>
  </si>
  <si>
    <t>CAIXA ENTERRADA ELÉTRICA RETANGULAR, EM CONCRETO PRÉ-MOLDADO, FUNDO COM BRITA, DIMENSÕES INTERNAS: 1X1X0,5 M. AF_12/2020</t>
  </si>
  <si>
    <t>SUPORTE PARAFUSADO COM PLACA DE ENCAIXE 4" X 2" ALTO (2,00 M DO PISO) PARA PONTO ELÉTRICO - FORNECIMENTO E INSTALAÇÃO. AF_12/2015</t>
  </si>
  <si>
    <t>SUPORTE PARAFUSADO COM PLACA DE ENCAIXE 4" X 2" MÉDIO (1,30 M DO PISO) PARA PONTO ELÉTRICO - FORNECIMENTO E INSTALAÇÃO. AF_12/2015</t>
  </si>
  <si>
    <t>SUPORTE PARAFUSADO COM PLACA DE ENCAIXE 4" X 2" BAIXO (0,30 M DO PISO) PARA PONTO ELÉTRICO - FORNECIMENTO E INSTALAÇÃO. AF_12/2015</t>
  </si>
  <si>
    <t>SUPORTE PARAFUSADO COM PLACA DE ENCAIXE 4" X 4" ALTO (2,00 M DO PISO) PARA PONTO ELÉTRICO - FORNECIMENTO E INSTALAÇÃO. AF_12/2015</t>
  </si>
  <si>
    <t>SUPORTE PARAFUSADO COM PLACA DE ENCAIXE 4" X 4" MÉDIO (1,30 M DO PISO) PARA PONTO ELÉTRICO - FORNECIMENTO E INSTALAÇÃO. AF_12/2015</t>
  </si>
  <si>
    <t>SUPORTE PARAFUSADO COM PLACA DE ENCAIXE 4" X 4" BAIXO (0,30 M DO PISO) PARA PONTO ELÉTRICO - FORNECIMENTO E INSTALAÇÃO. AF_12/2015</t>
  </si>
  <si>
    <t>QUADRO DE MEDIÇÃO GERAL DE ENERGIA PARA 1 MEDIDOR DE SOBREPOR - FORNECIMENTO E INSTALAÇÃO. AF_10/2020</t>
  </si>
  <si>
    <t>QUADRO DE MEDIÇÃO GERAL DE ENERGIA PARA BARRAMENTO BLINDADO COM 4 MEDIDORES - FORNECIMENTO E INSTALAÇÃO. AF_10/2020</t>
  </si>
  <si>
    <t>QUADRO DE MEDIÇÃO GERAL DE ENERGIA COM 8 MEDIDORES - FORNECIMENTO E INSTALAÇÃO. AF_10/2020</t>
  </si>
  <si>
    <t>QUADRO DE MEDIÇÃO GERAL DE ENERGIA COM 12 MEDIDORES - FORNECIMENTO E INSTALAÇÃO. AF_10/2020</t>
  </si>
  <si>
    <t>QUADRO DE MEDIÇÃO GERAL DE ENERGIA COM 16 MEDIDORES - FORNECIMENTO E INSTALAÇÃO. AF_10/2020</t>
  </si>
  <si>
    <t>QUADRO DE DISTRIBUIÇÃO DE ENERGIA EM CHAPA DE AÇO GALVANIZADO, DE EMBUTIR, COM BARRAMENTO TRIFÁSICO, PARA 12 DISJUNTORES DIN 100A - FORNECIMENTO E INSTALAÇÃO. AF_10/2020</t>
  </si>
  <si>
    <t>QUADRO DE DISTRIBUIÇÃO DE ENERGIA EM PVC, DE EMBUTIR, SEM BARRAMENTO, PARA 6 DISJUNTORES - FORNECIMENTO E INSTALAÇÃO. AF_10/2020</t>
  </si>
  <si>
    <t>QUADRO DE DISTRIBUIÇÃO DE ENERGIA EM PVC, DE EMBUTIR, SEM BARRAMENTO, PARA 3 DISJUNTORES - FORNECIMENTO E INSTALAÇÃO. AF_10/2020</t>
  </si>
  <si>
    <t>QUADRO DE DISTRIBUIÇÃO DE ENERGIA EM CHAPA DE AÇO GALVANIZADO, DE SOBREPOR, COM BARRAMENTO TRIFÁSICO, PARA 18 DISJUNTORES DIN 100A - FORNECIMENTO E INSTALAÇÃO. AF_10/2020</t>
  </si>
  <si>
    <t>QUADRO DE DISTRIBUIÇÃO DE ENERGIA EM CHAPA DE AÇO GALVANIZADO, DE EMBUTIR, COM BARRAMENTO TRIFÁSICO, PARA 24 DISJUNTORES DIN 100A - FORNECIMENTO E INSTALAÇÃO. AF_10/2020</t>
  </si>
  <si>
    <t>QUADRO DE DISTRIBUIÇÃO DE ENERGIA EM CHAPA DE AÇO GALVANIZADO, DE EMBUTIR, COM BARRAMENTO TRIFÁSICO, PARA 30 DISJUNTORES DIN 150A - FORNECIMENTO E INSTALAÇÃO. AF_10/2020</t>
  </si>
  <si>
    <t>QUADRO DE DISTRIBUIÇÃO DE ENERGIA EM CHAPA DE AÇO GALVANIZADO, DE EMBUTIR, COM BARRAMENTO TRIFÁSICO, PARA 40 DISJUNTORES DIN 100A - FORNECIMENTO E INSTALAÇÃO. AF_10/2020</t>
  </si>
  <si>
    <t>QUADRO DE DISTRIBUIÇÃO DE ENERGIA EM CHAPA DE AÇO GALVANIZADO, DE EMBUTIR, COM BARRAMENTO TRIFÁSICO, PARA 30 DISJUNTORES DIN 225A - FORNECIMENTO E INSTALAÇÃO. AF_10/2020</t>
  </si>
  <si>
    <t>QUADRO DE DISTRIBUIÇÃO DE ENERGIA EM CHAPA DE AÇO GALVANIZADO, DE EMBUTIR, COM BARRAMENTO TRIFÁSICO, PARA 18 DISJUNTORES DIN 100A - FORNECIMENTO E INSTALAÇÃO. AF_10/2020</t>
  </si>
  <si>
    <t>CONTATOR TRIPOLAR I NOMINAL 12A - FORNECIMENTO E INSTALAÇÃO. AF_10/2020</t>
  </si>
  <si>
    <t>CONTATOR TRIPOLAR I NOMINAL 22A - FORNECIMENTO E INSTALAÇÃO. AF_10/2020</t>
  </si>
  <si>
    <t>CONTATOR TRIPOLAR I NOMINAL 38A - FORNECIMENTO E INSTALAÇÃO. AF_10/2020</t>
  </si>
  <si>
    <t>CONTATOR TRIPOLAR I NOMIMAL 95A - FORNECIMENTO E INSTALAÇÃO. AF_10/2020</t>
  </si>
  <si>
    <t>DISJUNTOR MONOPOLAR TIPO DIN, CORRENTE NOMINAL DE 10A - FORNECIMENTO E INSTALAÇÃO. AF_10/2020</t>
  </si>
  <si>
    <t>DISJUNTOR MONOPOLAR TIPO DIN, CORRENTE NOMINAL DE 16A - FORNECIMENTO E INSTALAÇÃO. AF_10/2020</t>
  </si>
  <si>
    <t>DISJUNTOR MONOPOLAR TIPO DIN, CORRENTE NOMINAL DE 20A - FORNECIMENTO E INSTALAÇÃO. AF_10/2020</t>
  </si>
  <si>
    <t>DISJUNTOR MONOPOLAR TIPO DIN, CORRENTE NOMINAL DE 25A - FORNECIMENTO E INSTALAÇÃO. AF_10/2020</t>
  </si>
  <si>
    <t>DISJUNTOR MONOPOLAR TIPO DIN, CORRENTE NOMINAL DE 32A - FORNECIMENTO E INSTALAÇÃO. AF_10/2020</t>
  </si>
  <si>
    <t>DISJUNTOR MONOPOLAR TIPO DIN, CORRENTE NOMINAL DE 40A - FORNECIMENTO E INSTALAÇÃO. AF_10/2020</t>
  </si>
  <si>
    <t>DISJUNTOR MONOPOLAR TIPO DIN, CORRENTE NOMINAL DE 50A - FORNECIMENTO E INSTALAÇÃO. AF_10/2020</t>
  </si>
  <si>
    <t>DISJUNTOR MONOPOLAR TIPO NEMA, CORRENTE NOMINAL DE 10 ATÉ 30A - FORNECIMENTO E INSTALAÇÃO. AF_10/2020</t>
  </si>
  <si>
    <t>DISJUNTOR MONOPOLAR TIPO NEMA, CORRENTE NOMINAL DE 35 ATÉ 50A - FORNECIMENTO E INSTALAÇÃO. AF_10/2020</t>
  </si>
  <si>
    <t>DISJUNTOR BIPOLAR TIPO DIN, CORRENTE NOMINAL DE 10A - FORNECIMENTO E INSTALAÇÃO. AF_10/2020</t>
  </si>
  <si>
    <t>DISJUNTOR BIPOLAR TIPO DIN, CORRENTE NOMINAL DE 16A - FORNECIMENTO E INSTALAÇÃO. AF_10/2020</t>
  </si>
  <si>
    <t>DISJUNTOR BIPOLAR TIPO DIN, CORRENTE NOMINAL DE 20A - FORNECIMENTO E INSTALAÇÃO. AF_10/2020</t>
  </si>
  <si>
    <t>DISJUNTOR BIPOLAR TIPO DIN, CORRENTE NOMINAL DE 25A - FORNECIMENTO E INSTALAÇÃO. AF_10/2020</t>
  </si>
  <si>
    <t>DISJUNTOR BIPOLAR TIPO DIN, CORRENTE NOMINAL DE 32A - FORNECIMENTO E INSTALAÇÃO. AF_10/2020</t>
  </si>
  <si>
    <t>DISJUNTOR BIPOLAR TIPO DIN, CORRENTE NOMINAL DE 40A - FORNECIMENTO E INSTALAÇÃO. AF_10/2020</t>
  </si>
  <si>
    <t>DISJUNTOR BIPOLAR TIPO DIN, CORRENTE NOMINAL DE 50A - FORNECIMENTO E INSTALAÇÃO. AF_10/2020</t>
  </si>
  <si>
    <t>DISJUNTOR BIPOLAR TIPO NEMA, CORRENTE NOMINAL DE 10 ATÉ 50A - FORNECIMENTO E INSTALAÇÃO. AF_10/2020</t>
  </si>
  <si>
    <t>DISJUNTOR TRIPOLAR TIPO DIN, CORRENTE NOMINAL DE 10A - FORNECIMENTO E INSTALAÇÃO. AF_10/2020</t>
  </si>
  <si>
    <t>DISJUNTOR TRIPOLAR TIPO DIN, CORRENTE NOMINAL DE 16A - FORNECIMENTO E INSTALAÇÃO. AF_10/2020</t>
  </si>
  <si>
    <t>DISJUNTOR TRIPOLAR TIPO DIN, CORRENTE NOMINAL DE 20A - FORNECIMENTO E INSTALAÇÃO. AF_10/2020</t>
  </si>
  <si>
    <t>DISJUNTOR TRIPOLAR TIPO DIN, CORRENTE NOMINAL DE 25A - FORNECIMENTO E INSTALAÇÃO. AF_10/2020</t>
  </si>
  <si>
    <t>DISJUNTOR TRIPOLAR TIPO DIN, CORRENTE NOMINAL DE 32A - FORNECIMENTO E INSTALAÇÃO. AF_10/2020</t>
  </si>
  <si>
    <t>DISJUNTOR TRIPOLAR TIPO DIN, CORRENTE NOMINAL DE 40A - FORNECIMENTO E INSTALAÇÃO. AF_10/2020</t>
  </si>
  <si>
    <t>DISJUNTOR TRIPOLAR TIPO DIN, CORRENTE NOMINAL DE 50A - FORNECIMENTO E INSTALAÇÃO. AF_10/2020</t>
  </si>
  <si>
    <t>DISJUNTOR TRIPOLAR TIPO NEMA, CORRENTE NOMINAL DE 10 ATÉ 50A - FORNECIMENTO E INSTALAÇÃO. AF_10/2020</t>
  </si>
  <si>
    <t>DISJUNTOR TRIPOLAR TIPO NEMA, CORRENTE NOMINAL DE 60 ATÉ 100A - FORNECIMENTO E INSTALAÇÃO. AF_10/2020</t>
  </si>
  <si>
    <t>ABRAÇADEIRA DE FIXAÇÃO DE BRAÇOS DE LUMINÁRIAS DE 2" - FORNECIMENTO E INSTALAÇÃO. AF_08/2020</t>
  </si>
  <si>
    <t>ABRAÇADEIRA DE FIXAÇÃO DE BRAÇOS DE LUMINÁRIAS DE 3" - FORNECIMENTO E INSTALAÇÃO. AF_08/2020</t>
  </si>
  <si>
    <t>ABRAÇADEIRA DE FIXAÇÃO DE BRAÇOS DE LUMINÁRIAS DE 4" - FORNECIMENTO E INSTALAÇÃO. AF_08/2020</t>
  </si>
  <si>
    <t>DISJUNTOR TERMOMAGNÉTICO TRIPOLAR , CORRENTE NOMINAL DE 125A - FORNECIMENTO E INSTALAÇÃO. AF_10/2020</t>
  </si>
  <si>
    <t>DISJUNTOR TERMOMAGNÉTICO TRIPOLAR , CORRENTE NOMINAL DE 200A - FORNECIMENTO E INSTALAÇÃO. AF_10/2020</t>
  </si>
  <si>
    <t>DISJUNTOR TERMOMAGNÉTICO TRIPOLAR , CORRENTE NOMINAL DE 250A - FORNECIMENTO E INSTALAÇÃO. AF_10/2020</t>
  </si>
  <si>
    <t>DISJUNTOR TERMOMAGNÉTICO TRIPOLAR , CORRENTE NOMINAL DE 400A - FORNECIMENTO E INSTALAÇÃO. AF_10/2020</t>
  </si>
  <si>
    <t>DISJUNTOR TERMOMAGNÉTICO TRIPOLAR , CORRENTE NOMINAL DE 600A - FORNECIMENTO E INSTALAÇÃO. AF_10/2020</t>
  </si>
  <si>
    <t>DISJUNTOR BAIXA TENSÃO TRIPOLAR A SECO  800A/600V - FORNECIMENTO E INSTALAÇÃO. AF_10/2020</t>
  </si>
  <si>
    <t>INTERRUPTOR SIMPLES (1 MÓDULO), 10A/250V, SEM SUPORTE E SEM PLACA - FORNECIMENTO E INSTALAÇÃO. AF_12/2015</t>
  </si>
  <si>
    <t>INTERRUPTOR SIMPLES (1 MÓDULO), 10A/250V, INCLUINDO SUPORTE E PLACA - FORNECIMENTO E INSTALAÇÃO. AF_12/2015</t>
  </si>
  <si>
    <t>INTERRUPTOR SIMPLES (1 MÓDULO) COM INTERRUPTOR PARALELO (1 MÓDULO), 10A/250V, SEM SUPORTE E SEM PLACA - FORNECIMENTO E INSTALAÇÃO. AF_12/2015</t>
  </si>
  <si>
    <t>INTERRUPTOR SIMPLES (1 MÓDULO) COM INTERRUPTOR PARALELO (1 MÓDULO), 10A/250V, INCLUINDO SUPORTE E PLACA - FORNECIMENTO E INSTALAÇÃO. AF_12/2015</t>
  </si>
  <si>
    <t>INTERRUPTOR SIMPLES (2 MÓDULOS), 10A/250V, SEM SUPORTE E SEM PLACA - FORNECIMENTO E INSTALAÇÃO. AF_12/2015</t>
  </si>
  <si>
    <t>INTERRUPTOR SIMPLES (2 MÓDULOS), 10A/250V, INCLUINDO SUPORTE E PLACA - FORNECIMENTO E INSTALAÇÃO. AF_12/2015</t>
  </si>
  <si>
    <t>INTERRUPTOR SIMPLES (1 MÓDULO) COM INTERRUPTOR PARALELO (2 MÓDULOS), 10A/250V, SEM SUPORTE E SEM PLACA - FORNECIMENTO E INSTALAÇÃO. AF_12/2015</t>
  </si>
  <si>
    <t>INTERRUPTOR SIMPLES (1 MÓDULO) COM INTERRUPTOR PARALELO (2 MÓDULOS), 10A/250V, INCLUINDO SUPORTE E PLACA - FORNECIMENTO E INSTALAÇÃO. AF_12/2015</t>
  </si>
  <si>
    <t>INTERRUPTOR SIMPLES (2 MÓDULOS) COM INTERRUPTOR PARALELO (1 MÓDULO), 10A/250V, SEM SUPORTE E SEM PLACA - FORNECIMENTO E INSTALAÇÃO. AF_12/2015</t>
  </si>
  <si>
    <t>INTERRUPTOR SIMPLES (2 MÓDULOS) COM INTERRUPTOR PARALELO (1 MÓDULO), 10A/250V, INCLUINDO SUPORTE E PLACA - FORNECIMENTO E INSTALAÇÃO. AF_12/2015</t>
  </si>
  <si>
    <t>INTERRUPTOR SIMPLES (3 MÓDULOS), 10A/250V, SEM SUPORTE E SEM PLACA - FORNECIMENTO E INSTALAÇÃO. AF_12/2015</t>
  </si>
  <si>
    <t>INTERRUPTOR SIMPLES (3 MÓDULOS), 10A/250V, INCLUINDO SUPORTE E PLACA - FORNECIMENTO E INSTALAÇÃO. AF_12/2015</t>
  </si>
  <si>
    <t>INTERRUPTOR SIMPLES (3 MÓDULOS) COM INTERRUPTOR PARALELO (1 MÓDULO), 10A/250V, SEM SUPORTE E SEM PLACA - FORNECIMENTO E INSTALAÇÃO. AF_12/2015</t>
  </si>
  <si>
    <t>INTERRUPTOR SIMPLES (3 MÓDULOS) COM INTERRUPTOR PARALELO (1 MÓDULO), 10A/250V, INCLUINDO SUPORTE E PLACA - FORNECIMENTO E INSTALAÇÃO. AF_12/2015</t>
  </si>
  <si>
    <t>INTERRUPTOR SIMPLES (2 MÓDULOS) COM INTERRUPTOR PARALELO (2 MÓDULOS), 10A/250V, SEM SUPORTE E SEM PLACA - FORNECIMENTO E INSTALAÇÃO. AF_12/2015</t>
  </si>
  <si>
    <t>INTERRUPTOR SIMPLES (2 MÓDULOS) COM INTERRUPTOR PARALELO (2 MÓDULOS), 10A/250V, INCLUINDO SUPORTE E PLACA - FORNECIMENTO E INSTALAÇÃO. AF_12/2015</t>
  </si>
  <si>
    <t>INTERRUPTOR SIMPLES (4 MÓDULOS), 10A/250V, SEM SUPORTE E SEM PLACA - FORNECIMENTO E INSTALAÇÃO. AF_12/2015</t>
  </si>
  <si>
    <t>INTERRUPTOR SIMPLES (4 MÓDULOS), 10A/250V, INCLUINDO SUPORTE E PLACA - FORNECIMENTO E INSTALAÇÃO. AF_12/2015</t>
  </si>
  <si>
    <t>INTERRUPTOR SIMPLES (6 MÓDULOS), 10A/250V, SEM SUPORTE E SEM PLACA - FORNECIMENTO E INSTALAÇÃO. AF_12/2015</t>
  </si>
  <si>
    <t>INTERRUPTOR SIMPLES (6 MÓDULOS), 10A/250V, INCLUINDO SUPORTE E PLACA - FORNECIMENTO E INSTALAÇÃO. AF_12/2015</t>
  </si>
  <si>
    <t>INTERRUPTOR SIMPLES (1 MÓDULO) COM 1 TOMADA DE EMBUTIR 2P+T 10 A,  SEM SUPORTE E SEM PLACA - FORNECIMENTO E INSTALAÇÃO. AF_12/2015</t>
  </si>
  <si>
    <t>INTERRUPTOR SIMPLES (1 MÓDULO) COM 1 TOMADA DE EMBUTIR 2P+T 10 A,  INCLUINDO SUPORTE E PLACA - FORNECIMENTO E INSTALAÇÃO. AF_12/2015</t>
  </si>
  <si>
    <t>INTERRUPTOR SIMPLES (1 MÓDULO) COM 2 TOMADAS DE EMBUTIR 2P+T 10 A,  SEM SUPORTE E SEM PLACA - FORNECIMENTO E INSTALAÇÃO. AF_12/2015</t>
  </si>
  <si>
    <t>INTERRUPTOR SIMPLES (1 MÓDULO) COM 2 TOMADAS DE EMBUTIR 2P+T 10 A,  INCLUINDO SUPORTE E PLACA - FORNECIMENTO E INSTALAÇÃO. AF_12/2015</t>
  </si>
  <si>
    <t>INTERRUPTOR SIMPLES (2 MÓDULOS) COM 1 TOMADA DE EMBUTIR 2P+T 10 A,  SEM SUPORTE E SEM PLACA - FORNECIMENTO E INSTALAÇÃO. AF_12/2015</t>
  </si>
  <si>
    <t>INTERRUPTOR SIMPLES (2 MÓDULOS) COM 1 TOMADA DE EMBUTIR 2P+T 10 A,  INCLUINDO SUPORTE E PLACA - FORNECIMENTO E INSTALAÇÃO. AF_12/2015</t>
  </si>
  <si>
    <t>INTERRUPTOR SIMPLES (1 MÓDULO), INTERRUPTOR PARALELO (1 MÓDULO) E 1 TOMADA DE EMBUTIR 2P+T 10 A,  SEM SUPORTE E SEM PLACA - FORNECIMENTO E INSTALAÇÃO. AF_12/2015</t>
  </si>
  <si>
    <t>INTERRUPTOR SIMPLES (1 MÓDULO), INTERRUPTOR PARALELO (1 MÓDULO) E 1 TOMADA DE EMBUTIR 2P+T 10 A,  INCLUINDO SUPORTE E PLACA - FORNECIMENTO E INSTALAÇÃO. AF_12/2015</t>
  </si>
  <si>
    <t>INTERRUPTOR PARALELO (1 MÓDULO), 10A/250V, SEM SUPORTE E SEM PLACA - FORNECIMENTO E INSTALAÇÃO. AF_12/2015</t>
  </si>
  <si>
    <t>INTERRUPTOR PARALELO (1 MÓDULO), 10A/250V, INCLUINDO SUPORTE E PLACA - FORNECIMENTO E INSTALAÇÃO. AF_12/2015</t>
  </si>
  <si>
    <t>INTERRUPTOR PARALELO (2 MÓDULOS), 10A/250V, SEM SUPORTE E SEM PLACA - FORNECIMENTO E INSTALAÇÃO. AF_12/2015</t>
  </si>
  <si>
    <t>INTERRUPTOR PARALELO (2 MÓDULOS), 10A/250V, INCLUINDO SUPORTE E PLACA - FORNECIMENTO E INSTALAÇÃO. AF_12/2015</t>
  </si>
  <si>
    <t>INTERRUPTOR PARALELO (3 MÓDULOS), 10A/250V, SEM SUPORTE E SEM PLACA - FORNECIMENTO E INSTALAÇÃO. AF_12/2015</t>
  </si>
  <si>
    <t>INTERRUPTOR PARALELO (3 MÓDULOS), 10A/250V, INCLUINDO SUPORTE E PLACA - FORNECIMENTO E INSTALAÇÃO. AF_12/2015</t>
  </si>
  <si>
    <t>INTERRUPTOR PARALELO (1 MÓDULO) COM 1 TOMADA DE EMBUTIR 2P+T 10 A,  SEM SUPORTE E SEM PLACA - FORNECIMENTO E INSTALAÇÃO. AF_12/2015</t>
  </si>
  <si>
    <t>INTERRUPTOR PARALELO (1 MÓDULO) COM 1 TOMADA DE EMBUTIR 2P+T 10 A,  INCLUINDO SUPORTE E PLACA - FORNECIMENTO E INSTALAÇÃO. AF_12/2015</t>
  </si>
  <si>
    <t>INTERRUPTOR PARALELO (1 MÓDULO) COM 2 TOMADAS DE EMBUTIR 2P+T 10 A,  SEM SUPORTE E SEM PLACA - FORNECIMENTO E INSTALAÇÃO. AF_12/2015</t>
  </si>
  <si>
    <t>INTERRUPTOR PARALELO (1 MÓDULO) COM 2 TOMADAS DE EMBUTIR 2P+T 10 A,  INCLUINDO SUPORTE E PLACA - FORNECIMENTO E INSTALAÇÃO. AF_12/2015</t>
  </si>
  <si>
    <t>INTERRUPTOR PARALELO (2 MÓDULOS) COM 1 TOMADA DE EMBUTIR 2P+T 10 A,  SEM SUPORTE E SEM PLACA - FORNECIMENTO E INSTALAÇÃO. AF_12/2015</t>
  </si>
  <si>
    <t>INTERRUPTOR PARALELO (2 MÓDULOS) COM 1 TOMADA DE EMBUTIR 2P+T 10 A,  INCLUINDO SUPORTE E PLACA - FORNECIMENTO E INSTALAÇÃO. AF_12/2015</t>
  </si>
  <si>
    <t>INTERRUPTOR INTERMEDIÁRIO (1 MÓDULO), 10A/250V, SEM SUPORTE E SEM PLACA - FORNECIMENTO E INSTALAÇÃO. AF_09/2017</t>
  </si>
  <si>
    <t>INTERRUPTOR INTERMEDIÁRIO (1 MÓDULO), 10A/250V, INCLUINDO SUPORTE E PLACA - FORNECIMENTO E INSTALAÇÃO. AF_09/2017</t>
  </si>
  <si>
    <t>INTERRUPTOR BIPOLAR (1 MÓDULO), 10A/250V, SEM SUPORTE E SEM PLACA - FORNECIMENTO E INSTALAÇÃO. AF_09/2017</t>
  </si>
  <si>
    <t>INTERRUPTOR BIPOLAR (1 MÓDULO), 10A/250V, INCLUINDO SUPORTE E PLACA - FORNECIMENTO E INSTALAÇÃO. AF_09/2017</t>
  </si>
  <si>
    <t>DIMMER ROTATIVO (1 MÓDULO), 220V/600W, SEM SUPORTE E SEM PLACA - FORNECIMENTO E INSTALAÇÃO. AF_09/2017</t>
  </si>
  <si>
    <t>DIMMER ROTATIVO (1 MÓDULO), 220V/600W, INCLUINDO SUPORTE E PLACA - FORNECIMENTO E INSTALAÇÃO. AF_09/2017</t>
  </si>
  <si>
    <t>INTERRUPTOR PULSADOR CAMPAINHA (1 MÓDULO), 10A/250V, SEM SUPORTE E SEM PLACA - FORNECIMENTO E INSTALAÇÃO. AF_09/2017</t>
  </si>
  <si>
    <t>INTERRUPTOR PULSADOR CAMPAINHA (1 MÓDULO), 10A/250V, INCLUINDO SUPORTE E PLACA - FORNECIMENTO E INSTALAÇÃO. AF_09/2017</t>
  </si>
  <si>
    <t>CAMPAINHA CIGARRA (1 MÓDULO), 10A/250V, SEM SUPORTE E SEM PLACA - FORNECIMENTO E INSTALAÇÃO. AF_09/2017</t>
  </si>
  <si>
    <t>CAMPAINHA CIGARRA (1 MÓDULO), 10A/250V, INCLUINDO SUPORTE E PLACA - FORNECIMENTO E INSTALAÇÃO. AF_09/2017</t>
  </si>
  <si>
    <t>INTERRUPTOR PULSADOR MINUTERIA (1 MÓDULO), 10A/250V, SEM SUPORTE E SEM PLACA - FORNECIMENTO E INSTALAÇÃO. AF_09/2017</t>
  </si>
  <si>
    <t>INTERRUPTOR PULSADOR MINUTERIA (1 MÓDULO), 10A/250V, INCLUINDO SUPORTE E PLACA - FORNECIMENTO E INSTALAÇÃO. AF_09/2017</t>
  </si>
  <si>
    <t>TOMADA ALTA DE EMBUTIR (1 MÓDULO), 2P+T 10 A, SEM SUPORTE E SEM PLACA - FORNECIMENTO E INSTALAÇÃO. AF_12/2015</t>
  </si>
  <si>
    <t>TOMADA ALTA DE EMBUTIR (1 MÓDULO), 2P+T 20 A, SEM SUPORTE E SEM PLACA - FORNECIMENTO E INSTALAÇÃO. AF_12/2015</t>
  </si>
  <si>
    <t>TOMADA ALTA DE EMBUTIR (1 MÓDULO), 2P+T 10 A, INCLUINDO SUPORTE E PLACA - FORNECIMENTO E INSTALAÇÃO. AF_12/2015</t>
  </si>
  <si>
    <t>TOMADA ALTA DE EMBUTIR (1 MÓDULO), 2P+T 20 A, INCLUINDO SUPORTE E PLACA - FORNECIMENTO E INSTALAÇÃO. AF_12/2015</t>
  </si>
  <si>
    <t>TOMADA MÉDIA DE EMBUTIR (1 MÓDULO), 2P+T 10 A, SEM SUPORTE E SEM PLACA - FORNECIMENTO E INSTALAÇÃO. AF_12/2015</t>
  </si>
  <si>
    <t>TOMADA MÉDIA DE EMBUTIR (1 MÓDULO), 2P+T 20 A, SEM SUPORTE E SEM PLACA - FORNECIMENTO E INSTALAÇÃO. AF_12/2015</t>
  </si>
  <si>
    <t>TOMADA MÉDIA DE EMBUTIR (1 MÓDULO), 2P+T 10 A, INCLUINDO SUPORTE E PLACA - FORNECIMENTO E INSTALAÇÃO. AF_12/2015</t>
  </si>
  <si>
    <t>TOMADA MÉDIA DE EMBUTIR (1 MÓDULO), 2P+T 20 A, INCLUINDO SUPORTE E PLACA - FORNECIMENTO E INSTALAÇÃO. AF_12/2015</t>
  </si>
  <si>
    <t>TOMADA BAIXA DE EMBUTIR (1 MÓDULO), 2P+T 10 A, SEM SUPORTE E SEM PLACA - FORNECIMENTO E INSTALAÇÃO. AF_12/2015</t>
  </si>
  <si>
    <t>TOMADA BAIXA DE EMBUTIR (1 MÓDULO), 2P+T 20 A, SEM SUPORTE E SEM PLACA - FORNECIMENTO E INSTALAÇÃO. AF_12/2015</t>
  </si>
  <si>
    <t>TOMADA BAIXA DE EMBUTIR (1 MÓDULO), 2P+T 10 A, INCLUINDO SUPORTE E PLACA - FORNECIMENTO E INSTALAÇÃO. AF_12/2015</t>
  </si>
  <si>
    <t>TOMADA BAIXA DE EMBUTIR (1 MÓDULO), 2P+T 20 A, INCLUINDO SUPORTE E PLACA - FORNECIMENTO E INSTALAÇÃO. AF_12/2015</t>
  </si>
  <si>
    <t>TOMADA MÉDIA DE EMBUTIR (2 MÓDULOS), 2P+T 10 A, SEM SUPORTE E SEM PLACA - FORNECIMENTO E INSTALAÇÃO. AF_12/2015</t>
  </si>
  <si>
    <t>TOMADA MÉDIA DE EMBUTIR (2 MÓDULOS), 2P+T 20 A, SEM SUPORTE E SEM PLACA - FORNECIMENTO E INSTALAÇÃO. AF_12/2015</t>
  </si>
  <si>
    <t>TOMADA MÉDIA DE EMBUTIR (2 MÓDULOS), 2P+T 10 A, INCLUINDO SUPORTE E PLACA - FORNECIMENTO E INSTALAÇÃO. AF_12/2015</t>
  </si>
  <si>
    <t>TOMADA MÉDIA DE EMBUTIR (2 MÓDULOS), 2P+T 20 A, INCLUINDO SUPORTE E PLACA - FORNECIMENTO E INSTALAÇÃO. AF_12/2015</t>
  </si>
  <si>
    <t>TOMADA BAIXA DE EMBUTIR (2 MÓDULOS), 2P+T 10 A, SEM SUPORTE E SEM PLACA - FORNECIMENTO E INSTALAÇÃO. AF_12/2015</t>
  </si>
  <si>
    <t>TOMADA BAIXA DE EMBUTIR (2 MÓDULOS), 2P+T 20 A, SEM SUPORTE E SEM PLACA - FORNECIMENTO E INSTALAÇÃO. AF_12/2015</t>
  </si>
  <si>
    <t>TOMADA BAIXA DE EMBUTIR (2 MÓDULOS), 2P+T 10 A, INCLUINDO SUPORTE E PLACA - FORNECIMENTO E INSTALAÇÃO. AF_12/2015</t>
  </si>
  <si>
    <t>TOMADA BAIXA DE EMBUTIR (2 MÓDULOS), 2P+T 20 A, INCLUINDO SUPORTE E PLACA - FORNECIMENTO E INSTALAÇÃO. AF_12/2015</t>
  </si>
  <si>
    <t>TOMADA MÉDIA DE EMBUTIR (3 MÓDULOS), 2P+T 10 A, SEM SUPORTE E SEM PLACA - FORNECIMENTO E INSTALAÇÃO. AF_12/2015</t>
  </si>
  <si>
    <t>TOMADA MÉDIA DE EMBUTIR (3 MÓDULOS), 2P+T 20 A, SEM SUPORTE E SEM PLACA - FORNECIMENTO E INSTALAÇÃO. AF_12/2015</t>
  </si>
  <si>
    <t>TOMADA MÉDIA DE EMBUTIR (3 MÓDULOS), 2P+T 10 A, INCLUINDO SUPORTE E PLACA - FORNECIMENTO E INSTALAÇÃO. AF_12/2015</t>
  </si>
  <si>
    <t>TOMADA MÉDIA DE EMBUTIR (3 MÓDULOS), 2P+T 20 A, INCLUINDO SUPORTE E PLACA - FORNECIMENTO E INSTALAÇÃO. AF_12/2015</t>
  </si>
  <si>
    <t>TOMADA BAIXA DE EMBUTIR (3 MÓDULOS), 2P+T 10 A, SEM SUPORTE E SEM PLACA - FORNECIMENTO E INSTALAÇÃO. AF_12/2015</t>
  </si>
  <si>
    <t>TOMADA BAIXA DE EMBUTIR (3 MÓDULOS), 2P+T 20 A, SEM SUPORTE E SEM PLACA - FORNECIMENTO E INSTALAÇÃO. AF_12/2015</t>
  </si>
  <si>
    <t>TOMADA BAIXA DE EMBUTIR (3 MÓDULOS), 2P+T 10 A, INCLUINDO SUPORTE E PLACA - FORNECIMENTO E INSTALAÇÃO. AF_12/2015</t>
  </si>
  <si>
    <t>TOMADA BAIXA DE EMBUTIR (3 MÓDULOS), 2P+T 20 A, INCLUINDO SUPORTE E PLACA - FORNECIMENTO E INSTALAÇÃO. AF_12/2015</t>
  </si>
  <si>
    <t>TOMADA BAIXA DE EMBUTIR (4 MÓDULOS), 2P+T 10 A, SEM SUPORTE E SEM PLACA - FORNECIMENTO E INSTALAÇÃO. AF_12/2015</t>
  </si>
  <si>
    <t>TOMADA BAIXA DE EMBUTIR (4 MÓDULOS), 2P+T 10 A, INCLUINDO SUPORTE E PLACA - FORNECIMENTO E INSTALAÇÃO. AF_12/2015</t>
  </si>
  <si>
    <t>TOMADA BAIXA DE EMBUTIR (6 MÓDULOS), 2P+T 10 A, SEM SUPORTE E SEM PLACA - FORNECIMENTO E INSTALAÇÃO. AF_12/2015</t>
  </si>
  <si>
    <t>TOMADA BAIXA DE EMBUTIR (6 MÓDULOS), 2P+T 10 A, INCLUINDO SUPORTE E PLACA - FORNECIMENTO E INSTALAÇÃO. AF_12/2015</t>
  </si>
  <si>
    <t>PONTO DE TOMADA RESIDENCIAL INCLUINDO TOMADA 10A/250V, CAIXA ELÉTRICA, ELETRODUTO, CABO, RASGO, QUEBRA E CHUMBAMENTO. AF_01/2016</t>
  </si>
  <si>
    <t>PONTO DE TOMADA RESIDENCIAL INCLUINDO TOMADA (2 MÓDULOS) 10A/250V, CAIXA ELÉTRICA, ELETRODUTO, CABO, RASGO, QUEBRA E CHUMBAMENTO. AF_01/2016</t>
  </si>
  <si>
    <t>PONTO DE TOMADA RESIDENCIAL INCLUINDO TOMADA 20A/250V, CAIXA ELÉTRICA, ELETRODUTO, CABO, RASGO, QUEBRA E CHUMBAMENTO. AF_01/2016</t>
  </si>
  <si>
    <t>PONTO DE UTILIZAÇÃO DE EQUIPAMENTOS ELÉTRICOS, RESIDENCIAL, INCLUINDO SUPORTE E PLACA, CAIXA ELÉTRICA, ELETRODUTO, CABO, RASGO, QUEBRA E CHUMBAMENTO. AF_01/2016</t>
  </si>
  <si>
    <t>PONTO DE ILUMINAÇÃO E TOMADA, RESIDENCIAL, INCLUINDO INTERRUPTOR SIMPLES E TOMADA 10A/250V, CAIXA ELÉTRICA, ELETRODUTO, CABO, RASGO, QUEBRA E CHUMBAMENTO (EXCLUINDO LUMINÁRIA E LÂMPADA). AF_01/2016</t>
  </si>
  <si>
    <t>PONTO DE ILUMINAÇÃO E TOMADA, RESIDENCIAL, INCLUINDO INTERRUPTOR PARALELO E TOMADA 10A/250V, CAIXA ELÉTRICA, ELETRODUTO, CABO, RASGO, QUEBRA E CHUMBAMENTO (EXCLUINDO LUMINÁRIA E LÂMPADA). AF_01/2016</t>
  </si>
  <si>
    <t>PONTO DE ILUMINAÇÃO E TOMADA, RESIDENCIAL, INCLUINDO INTERRUPTOR SIMPLES, INTERRUPTOR PARALELO E TOMADA 10A/250V, CAIXA ELÉTRICA, ELETRODUTO, CABO, RASGO, QUEBRA E CHUMBAMENTO (EXCLUINDO LUMINÁRIA E LÂMPADA). AF_01/2016</t>
  </si>
  <si>
    <t>PONTO DE ILUMINAÇÃO RESIDENCIAL INCLUINDO INTERRUPTOR SIMPLES, CAIXA ELÉTRICA, ELETRODUTO, CABO, RASGO, QUEBRA E CHUMBAMENTO (EXCLUINDO LUMINÁRIA E LÂMPADA). AF_01/2016</t>
  </si>
  <si>
    <t>PONTO DE ILUMINAÇÃO RESIDENCIAL INCLUINDO INTERRUPTOR SIMPLES (2 MÓDULOS), CAIXA ELÉTRICA, ELETRODUTO, CABO, RASGO, QUEBRA E CHUMBAMENTO (EXCLUINDO LUMINÁRIA E LÂMPADA). AF_01/2016</t>
  </si>
  <si>
    <t>PONTO DE ILUMINAÇÃO RESIDENCIAL INCLUINDO INTERRUPTOR PARALELO, CAIXA ELÉTRICA, ELETRODUTO, CABO, RASGO, QUEBRA E CHUMBAMENTO (EXCLUINDO LUMINÁRIA E LÂMPADA). AF_01/2016</t>
  </si>
  <si>
    <t>PONTO DE ILUMINAÇÃO RESIDENCIAL INCLUINDO INTERRUPTOR PARALELO (2 MÓDULOS), CAIXA ELÉTRICA, ELETRODUTO, CABO, RASGO, QUEBRA E CHUMBAMENTO (EXCLUINDO LUMINÁRIA E LÂMPADA). AF_01/2016</t>
  </si>
  <si>
    <t>PONTO DE ILUMINAÇÃO RESIDENCIAL INCLUINDO INTERRUPTOR SIMPLES CONJUGADO COM PARALELO, CAIXA ELÉTRICA, ELETRODUTO, CABO, RASGO, QUEBRA E CHUMBAMENTO (EXCLUINDO LUMINÁRIA E LÂMPADA). AF_01/2016</t>
  </si>
  <si>
    <t>SENSOR DE PRESENÇA COM FOTOCÉLULA, FIXAÇÃO EM PAREDE - FORNECIMENTO E INSTALAÇÃO. AF_02/2020</t>
  </si>
  <si>
    <t>SENSOR DE PRESENÇA SEM FOTOCÉLULA, FIXAÇÃO EM PAREDE - FORNECIMENTO E INSTALAÇÃO. AF_02/2020</t>
  </si>
  <si>
    <t>SENSOR DE PRESENÇA COM FOTOCÉLULA, FIXAÇÃO EM TETO - FORNECIMENTO E INSTALAÇÃO. AF_02/2020</t>
  </si>
  <si>
    <t>SENSOR DE PRESENÇA SEM FOTOCÉLULA, FIXAÇÃO EM TETO - FORNECIMENTO E INSTALAÇÃO. AF_02/2020</t>
  </si>
  <si>
    <t>LUMINÁRIA DE EMERGÊNCIA, COM 30 LÂMPADAS LED DE 2 W, SEM REATOR - FORNECIMENTO E INSTALAÇÃO. AF_02/2020</t>
  </si>
  <si>
    <t>LUMINÁRIA TIPO CALHA, DE SOBREPOR, COM 1 LÂMPADA TUBULAR FLUORESCENTE DE 18 W, COM REATOR DE PARTIDA RÁPIDA - FORNECIMENTO E INSTALAÇÃO. AF_02/2020</t>
  </si>
  <si>
    <t>LUMINÁRIA FECHADA PARA ILUMINAÇÃO PÚBLICA, COM REATOR DE PARTIDA RÁPIDA, COM LÂMPADA VAPOR DE MERCÚRIO 250 W - FORNECIMENTO E INSTALAÇÃO. AF_08/2020</t>
  </si>
  <si>
    <t>LUMINÁRIA FECHADA, PARA ILUMINAÇÃO PÚBLICA, PARA LÂMPADA DE VAPOR - FORNECIMENTO E INSTALAÇÃO (EXCLUSIVE LÂMPADA E REATOR). AF_08/2020</t>
  </si>
  <si>
    <t>LUMINÁRIA ABERTA PARA ILUMINAÇÃO PÚBLICA, PARA LÂMPADA VAPOR DE MERCÚRIO ATÉ 400 W E MISTA ATÉ 500 W, COM BRAÇO EM TUBO DE AÇO GALV 1", COMPRIMENTO DE 1,50 M, PARA POSTE DE CONCRETO - FORNECIMENTO E INSTALAÇÃO (EXCLUSIVE LÂMPADA E REATOR). AF_08/2020</t>
  </si>
  <si>
    <t>LUMINÁRIA TIPO CALHA, DE SOBREPOR, COM 1 LÂMPADA TUBULAR FLUORESCENTE DE 36 W, COM REATOR DE PARTIDA RÁPIDA - FORNECIMENTO E INSTALAÇÃO. AF_02/2020</t>
  </si>
  <si>
    <t>LUMINÁRIA TIPO CALHA, DE SOBREPOR, COM 2 LÂMPADAS TUBULARES FLUORESCENTES DE 18 W, COM REATOR DE PARTIDA RÁPIDA - FORNECIMENTO E INSTALAÇÃO. AF_02/2020</t>
  </si>
  <si>
    <t>LUMINÁRIA TIPO CALHA, DE SOBREPOR, COM 2 LÂMPADAS TUBULARES FLUORESCENTES DE 36 W, COM REATOR DE PARTIDA RÁPIDA - FORNECIMENTO E INSTALAÇÃO. AF_02/2020</t>
  </si>
  <si>
    <t>LUMINÁRIA TIPO CALHA, DE EMBUTIR, COM 2 LÂMPADAS FLUORESCENTES DE 14 W, COM REATOR DE PARTIDA RÁPIDA - FORNECIMENTO E INSTALAÇÃO. AF_02/2020</t>
  </si>
  <si>
    <t>LUMINÁRIA TIPO PLAFON EM PLÁSTICO, DE SOBREPOR, COM 1 LÂMPADA FLUORESCENTE DE 15 W, SEM REATOR - FORNECIMENTO E INSTALAÇÃO. AF_02/2020</t>
  </si>
  <si>
    <t>LUMINÁRIA TIPO PLAFON REDONDO COM VIDRO FOSCO, DE SOBREPOR, COM 1 LÂMPADA FLUORESCENTE DE 15 W, SEM REATOR - FORNECIMENTO E INSTALAÇÃO. AF_02/2020</t>
  </si>
  <si>
    <t>LUMINÁRIA TIPO PLAFON REDONDO COM VIDRO FOSCO, DE SOBREPOR, COM 2 LÂMPADAS FLUORESCENTES DE 15 W, SEM REATOR - FORNECIMENTO E INSTALAÇÃO. AF_02/2020</t>
  </si>
  <si>
    <t>LUMINÁRIA TIPO PLAFON, DE SOBREPOR, COM 1 LÂMPADA LED DE 12/13 W, SEM REATOR - FORNECIMENTO E INSTALAÇÃO. AF_02/2020</t>
  </si>
  <si>
    <t>LUMINÁRIA TIPO SPOT, DE SOBREPOR, COM 1 LÂMPADA FLUORESCENTE DE 15 W, SEM REATOR - FORNECIMENTO E INSTALAÇÃO. AF_02/2020</t>
  </si>
  <si>
    <t>LUMINÁRIA TIPO SPOT, DE SOBREPOR, COM 2 LÂMPADAS FLUORESCENTES DE 15 W, SEM REATOR - FORNECIMENTO E INSTALAÇÃO. AF_02/2020</t>
  </si>
  <si>
    <t>REFLETOR RETANGULAR FECHADO, COM LÂMPADA VAPOR METÁLICO 400 W - FORNECIMENTO E INSTALAÇÃO. AF_08/2020</t>
  </si>
  <si>
    <t>REFLETOR EM ALUMÍNIO, DE SUPORTE E ALÇA, COM 1 LÂMPADA VAPOR DE MERCÚRIO DE 125 W, COM REATOR ALTO FATOR DE POTÊNCIA - FORNECIMENTO E INSTALAÇÃO. AF_02/2020</t>
  </si>
  <si>
    <t>REFLETOR EM ALUMÍNIO, DE SUPORTE E ALÇA, COM LÂMPADA VAPOR DE MERCÚRIO DE 250 W, COM REATOR ALTO FATOR DE POTÊNCIA - FORNECIMENTO E INSTALAÇÃO. AF_02/2020</t>
  </si>
  <si>
    <t>LÂMPADA COMPACTA FLUORESCENTE DE 15 W, BASE E27 - FORNECIMENTO E INSTALAÇÃO. AF_02/2020</t>
  </si>
  <si>
    <t>LÂMPADA COMPACTA FLUORESCENTE DE 20 W, BASE E27 - FORNECIMENTO E INSTALAÇÃO. AF_02/2020</t>
  </si>
  <si>
    <t>LÂMPADA TUBULAR FLUORESCENTE T8 DE 16/18 W, BASE G13 - FORNECIMENTO E INSTALAÇÃO. AF_02/2020_P</t>
  </si>
  <si>
    <t>LÂMPADA TUBULAR FLUORESCENTE T8 DE 32/36 W, BASE G13 - FORNECIMENTO E INSTALAÇÃO. AF_02/2020_P</t>
  </si>
  <si>
    <t>LÂMPADA TUBULAR FLUORESCENTE T10 DE 20/40 W, BASE G13 - FORNECIMENTO E INSTALAÇÃO. AF_02/2020_P</t>
  </si>
  <si>
    <t>LÂMPADA TUBULAR FLUORESCENTE T5 DE 14 W, BASE G13 - FORNECIMENTO E INSTALAÇÃO. AF_02/2020_P</t>
  </si>
  <si>
    <t>LÂMPADA COMPACTA DE VAPOR MERCURIO 125 W, BASE E27 - FORNECIMENTO E INSTALAÇÃO. AF_02/2020</t>
  </si>
  <si>
    <t>LÂMPADA COMPACTA DE VAPOR METÁLICO OVOIDE 150 W, BASE E27 - FORNECIMENTO E INSTALAÇÃO. AF_02/2020</t>
  </si>
  <si>
    <t>LÂMPADA VAPOR DE SÓDIO 150 W - FORNECIMENTO E INSTALAÇÃO. AF_08/2020</t>
  </si>
  <si>
    <t>LÂMPADA VAPOR DE SÓDIO 250 W - FORNECIMENTO E INSTALAÇÃO. AF_08/2020</t>
  </si>
  <si>
    <t>LÂMPADA VAPOR DE SÓDIO 400 W - FORNECIMENTO E INSTALAÇÃO. AF_08/2020</t>
  </si>
  <si>
    <t>LÂMPADA VAPOR METÁLICO 400 W - FORNECIMENTO E INSTALAÇÃO. AF_08/2020</t>
  </si>
  <si>
    <t>LÂMPADA VAPOR METÁLICO 150 W - FORNECIMENTO E INSTALAÇÃO. AF_08/2020</t>
  </si>
  <si>
    <t>LÂMPADA VAPOR DE MERCÚRIO 125 W - FORNECIMENTO E INSTALAÇÃO. AF_08/2020</t>
  </si>
  <si>
    <t>LÂMPADA VAPOR DE MERCÚRIO 250 W - FORNECIMENTO E INSTALAÇÃO. AF_08/2020</t>
  </si>
  <si>
    <t>LÂMPADA VAPOR DE MERCÚRIO 400 W - FORNECIMENTO E INSTALAÇÃO. AF_08/2020</t>
  </si>
  <si>
    <t>LÂMPADA MISTA 160 W - FORNECIMENTO E INSTALAÇÃO. AF_08/2020</t>
  </si>
  <si>
    <t>LÂMPADA MISTA 250 W - FORNECIMENTO E INSTALAÇÃO. AF_08/2020</t>
  </si>
  <si>
    <t>LÂMPADA MISTA 500 W - FORNECIMENTO E INSTALAÇÃO. AF_08/2020</t>
  </si>
  <si>
    <t>LUMINÁRIA ESTANQUE COM PROTEÇÃO CONTRA ÁGUA, POEIRA OU IMPACTOS - FORNECIMENTO E INSTALAÇÃO. AF_08/2020</t>
  </si>
  <si>
    <t>LUMINÁRIA ARANDELA TIPO MEIA LUA, DE SOBREPOR, COM 1 LÂMPADA LED DE 6 W, SEM REATOR - FORNECIMENTO E INSTALAÇÃO. AF_02/2020</t>
  </si>
  <si>
    <t>LUMINÁRIA DE LED PARA ILUMINAÇÃO PÚBLICA, DE 33 W ATÉ 50 W - FORNECIMENTO E INSTALAÇÃO. AF_08/2020</t>
  </si>
  <si>
    <t>LUMINÁRIA DE LED PARA ILUMINAÇÃO PÚBLICA, DE 51 W ATÉ 67 W - FORNECIMENTO E INSTALAÇÃO. AF_08/2020</t>
  </si>
  <si>
    <t>LUMINÁRIA DE LED PARA ILUMINAÇÃO PÚBLICA, DE 68 W ATÉ 97 W - FORNECIMENTO E INSTALAÇÃO. AF_08/2020</t>
  </si>
  <si>
    <t>LUMINÁRIA DE LED PARA ILUMINAÇÃO PÚBLICA, DE 98 W ATÉ 137 W - FORNECIMENTO E INSTALAÇÃO. AF_08/2020</t>
  </si>
  <si>
    <t>LUMINÁRIA DE LED PARA ILUMINAÇÃO PÚBLICA, DE 138 W ATÉ 180 W - FORNECIMENTO E INSTALAÇÃO. AF_08/2020</t>
  </si>
  <si>
    <t>LUMINÁRIA DE LED PARA ILUMINAÇÃO PÚBLICA, DE 181 W ATÉ 239 W - FORNECIMENTO E INSTALAÇÃO. AF_08/2020</t>
  </si>
  <si>
    <t>LUMINÁRIA DE LED PARA ILUMINAÇÃO PÚBLICA, DE 240 W ATÉ 350 W - FORNECIMENTO E INSTALAÇÃO. AF_08/2020</t>
  </si>
  <si>
    <t>LUMINÁRIA ARANDELA TIPO MEIA LUA, DE SOBREPOR, COM 1 LÂMPADA FLUORESCENTE DE 15 W, SEM REATOR - FORNECIMENTO E INSTALAÇÃO. AF_02/2020</t>
  </si>
  <si>
    <t>LUMINÁRIA ARANDELA TIPO TARTARUGA, DE SOBREPOR, COM 1 LÂMPADA LED DE 6 W, SEM REATOR - FORNECIMENTO E INSTALAÇÃO. AF_02/2020</t>
  </si>
  <si>
    <t>LUMINÁRIA ARANDELA TIPO TARTARUGA, COM GRADE, DE SOBREPOR, COM 1 LÂMPADA FLUORESCENTE DE 15 W, SEM REATOR - FORNECIMENTO E INSTALAÇÃO. AF_02/2020</t>
  </si>
  <si>
    <t>LÂMPADA TUBULAR LED DE 9/10 W, BASE G13 - FORNECIMENTO E INSTALAÇÃO. AF_02/2020_P</t>
  </si>
  <si>
    <t>LÂMPADA TUBULAR LED DE 18/20 W, BASE G13 - FORNECIMENTO E INSTALAÇÃO. AF_02/2020_P</t>
  </si>
  <si>
    <t>LUMINÁRIA TIPO CALHA, DE SOBREPOR, COM 1 LÂMPADA TUBULAR FLUORESCENTE DE 20 W, COM REATOR DE PARTIDA CONVENCIONAL - FORNECIMENTO E INSTALAÇÃO. AF_02/2020</t>
  </si>
  <si>
    <t>LUMINÁRIA DUPLA TIPO CALHA, DE SOBREPOR, COM 4 LÂMPADAS TUBULARES FLUORESCENTES DE 18 W,COM REATORES DE PARTIDA RÁPIDA - FORNECIMENTO E INSTALAÇÃO. AF_02/2020</t>
  </si>
  <si>
    <t>LUMINÁRIA DUPLA TIPO CALHA, DE SOBREPOR, COM 4 LÂMPADAS TUBULARES FLUORESCENTES DE 36 W, COM REATORES DE PARTIDA RÁPIDA -FORNECIMENTO E INSTALAÇÃO. AF_02/2020</t>
  </si>
  <si>
    <t>LÂMPADA FLUORESCENTE ESPIRAL BRANCA 45 W, BASE E27 - FORNECIMENTO E INSTALAÇÃO. AF_02/2020</t>
  </si>
  <si>
    <t>LÂMPADA FLUORESCENTE ESPIRAL BRANCA 65 W, BASE E27 - FORNECIMENTO E INSTALAÇÃO. AF_02/2020</t>
  </si>
  <si>
    <t>LÂMPADA COMPACTA DE LED 6 W, BASE E27 - FORNECIMENTO E INSTALAÇÃO. AF_02/2020</t>
  </si>
  <si>
    <t>LÂMPADA COMPACTA DE LED 10 W, BASE E27 - FORNECIMENTO E INSTALAÇÃO. AF_02/2020</t>
  </si>
  <si>
    <t>APARELHO SINALIZADOR DE SAÍDA DE GARAGEM, COM CÉLULA FOTOELÉTRICA - FORNECIMENTO E INSTALAÇÃO. AF_07/2020</t>
  </si>
  <si>
    <t>INSTALAÇÃO DE SINALIZADOR NOTURNO LED. AF_11/2017</t>
  </si>
  <si>
    <t>ARMAÇÃO SECUNDÁRIA, COM 1 ESTRIBO E 1 ISOLADOR - FORNECIMENTO E INSTALAÇÃO. AF_07/2020</t>
  </si>
  <si>
    <t>ARMAÇÃO SECUNDÁRIA, COM 2 ESTRIBOS E 2 ISOLADORES - FORNECIMENTO E INSTALAÇÃO. AF_07/2020</t>
  </si>
  <si>
    <t>ARMAÇÃO SECUNDÁRIA, COM 3 ESTRIBOS E 3 ISOLADORES - FORNECIMENTO E INSTALAÇÃO. AF_07/2020</t>
  </si>
  <si>
    <t>ARMAÇÃO SECUNDÁRIA, COM 4 ESTRIBOS E 4 ISOLADORES - FORNECIMENTO E INSTALAÇÃO. AF_07/2020</t>
  </si>
  <si>
    <t>ARMAÇÃO SECUNDÁRIA, COM 1 ESTRIBO, SEM ISOLADOR - FORNECIMENTO E INSTALAÇÃO. AF_07/2020</t>
  </si>
  <si>
    <t>ARMAÇÃO SECUNDÁRIA, COM 2 ESTRIBOS, SEM ISOLADOR - FORNECIMENTO E INSTALAÇÃO. AF_07/2020</t>
  </si>
  <si>
    <t>ARMAÇÃO SECUNDÁRIA, COM 3 ESTRIBOS, SEM ISOLADOR - FORNECIMENTO E INSTALAÇÃO. AF_07/2020</t>
  </si>
  <si>
    <t>ARMAÇÃO SECUNDÁRIA, COM 4 ESTRIBOS, SEM ISOLADOR - FORNECIMENTO E INSTALAÇÃO. AF_07/2020</t>
  </si>
  <si>
    <t>ISOLADOR, TIPO PINO, PARA TENSÃO 15 KV - FORNECIMENTO E INSTALAÇÃO. AF_07/2020</t>
  </si>
  <si>
    <t>ISOLADOR, TIPO DISCO, PARA TENSÃO 15 KV - FORNECIMENTO E INSTALAÇÃO. AF_07/2020</t>
  </si>
  <si>
    <t>ISOLADOR, TIPO ROLDANA, PARA BAIXA TENSÃO - FORNECIMENTO E INSTALAÇÃO. AF_07/2020</t>
  </si>
  <si>
    <t>GRAMPO PARALELO METÁLICO, PARA REDES AÉREAS DE DISTRIBUIÇÃO DE ENERGIA ELÉTRICA DE BAIXA TENSÃO - FORNECIMENTO E INSTALAÇÃO. AF_07/2020</t>
  </si>
  <si>
    <t>ALÇA PREFORMADA DE DISTRIBUIÇÃO, EM  AÇO GALVANIZADO, AWG 1 - FORNECIMENTO E INSTALAÇÃO. AF_07/2020</t>
  </si>
  <si>
    <t>ALÇA PREFORMADA DE DISTRIBUIÇÃO, EM  AÇO GALVANIZADO, AWG 2 - FORNECIMENTO E INSTALAÇÃO. AF_07/2020</t>
  </si>
  <si>
    <t>ALÇA PREFORMADA DE DISTRIBUIÇÃO, EM  AÇO GALVANIZADO, AWG 4 - FORNECIMENTO E INSTALAÇÃO. AF_07/2020</t>
  </si>
  <si>
    <t>ALÇA PREFORMADA DE DISTRIBUIÇÃO, EM  AÇO GALVANIZADO, AWG 6 - FORNECIMENTO E INSTALAÇÃO. AF_07/2020</t>
  </si>
  <si>
    <t>REATOR PARA LÂMPADA VAPOR DE MERCÚRIO 400 W, USO EXTERNO - FORNECIMENTO E INSTALAÇÃO. AF_08/2020</t>
  </si>
  <si>
    <t>REATOR PARA LÂMPADA VAPOR DE SÓDIO 250 W, USO EXTERNO - FORNECIMENTO E INSTALAÇÃO. AF_08/2020</t>
  </si>
  <si>
    <t>REATOR PARA LÂMPADA VAPOR DE MERCÚRIO 125 W, USO EXTERNO - FORNECIMENTO E INSTALAÇÃO. AF_08/2020</t>
  </si>
  <si>
    <t>REATOR PARA LÂMPADA VAPOR DE MERCÚRIO 250 W, USO EXTERNO - FORNECIMENTO E INSTALAÇÃO. AF_08/2020</t>
  </si>
  <si>
    <t>REATOR DE PARTIDA RÁPIDA PARA LÂMPADA FLUORESCENTE 2X40W - FORNECIMENTO E INSTALAÇÃO. AF_02/2020</t>
  </si>
  <si>
    <t>REATOR DE PARTIDA RÁPIDA PARA LÂMPADA FLUORESCENTE 1X20W - FORNECIMENTO E INSTALAÇÃO. AF_02/2020</t>
  </si>
  <si>
    <t>REATOR DE PARTIDA RÁPIDA PARA LÂMPADA FLUORESCENTE 1X40W - FORNECIMENTO E INSTALAÇÃO. AF_02/2020</t>
  </si>
  <si>
    <t>SUBSTITUIÇÃO DE LUMINÁRIA DE VAPOR DE MERCÚRIO/VAPOR DE SÓDIO POR LUMINÁRIA DE LED PARA ILUMINAÇÃO PÚBLICA (NÃO INCLUI FORNECIMENTO). AF_08/2020</t>
  </si>
  <si>
    <t>SUBSTITUIÇÃO DE LÂMPADA PARA ILUMINAÇÃO PÚBLICA (NÃO INCLUI FORNECIMENTO). AF_08/2020</t>
  </si>
  <si>
    <t>SUBSTITUIÇÃO DE REATOR PARA ILUMINAÇÃO PÚBLICA (NÃO INCLUI FORNECIMENTO). AF_08/2020</t>
  </si>
  <si>
    <t>IGNITOR PARA PARTIDA LÂMPADA VAPOR SÓDIO / VAPOR METÁLICO ATÉ 400 W - FORNECIMENTO E INSTALAÇÃO. AF_08/2020</t>
  </si>
  <si>
    <t>RELÉ FOTOELÉTRICO PARA COMANDO DE ILUMINAÇÃO EXTERNA 1000 W - FORNECIMENTO E INSTALAÇÃO. AF_08/2020</t>
  </si>
  <si>
    <t>SUBSTITUIÇÃO DE RELÉ FOTOELÉTRICO PARA COMANDO DE ILUMINAÇÃO EXTERNA 1000 W - FORNECIMENTO E INSTALAÇÃO. AF_08/2020</t>
  </si>
  <si>
    <t>BRAÇO PARA ILUMINAÇÃO PÚBLICA, EM TUBO DE AÇO GALVANIZADO, COMPRIMENTO DE 1,50 M, PARA FIXAÇÃO EM POSTE DE CONCRETO - FORNECIMENTO E INSTALAÇÃO. AF_08/2020</t>
  </si>
  <si>
    <t>BRAÇO PARA ILUMINAÇÃO PÚBLICA, EM TUBO DE AÇO GALVANIZADO, COMPRIMENTO DE 1,50 M, PARA FIXAÇÃO EM POSTE METÁLICO - FORNECIMENTO E INSTALAÇÃO. AF_08/2020</t>
  </si>
  <si>
    <t>HASTE DE ATERRAMENTO 5/8  PARA SPDA - FORNECIMENTO E INSTALAÇÃO. AF_12/2017</t>
  </si>
  <si>
    <t>HASTE DE ATERRAMENTO 3/4  PARA SPDA - FORNECIMENTO E INSTALAÇÃO. AF_12/2017</t>
  </si>
  <si>
    <t>BASE METÁLICA PARA MASTRO 1 ½  PARA SPDA - FORNECIMENTO E INSTALAÇÃO. AF_12/2017</t>
  </si>
  <si>
    <t>MASTRO 1 ½  PARA SPDA - FORNECIMENTO E INSTALAÇÃO. AF_12/2017</t>
  </si>
  <si>
    <t>CORDOALHA DE COBRE NU 16 MM², NÃO ENTERRADA, COM ISOLADOR - FORNECIMENTO E INSTALAÇÃO. AF_12/2017</t>
  </si>
  <si>
    <t>CORDOALHA DE COBRE NU 25 MM², NÃO ENTERRADA, COM ISOLADOR - FORNECIMENTO E INSTALAÇÃO. AF_12/2017</t>
  </si>
  <si>
    <t>CORDOALHA DE COBRE NU 35 MM², NÃO ENTERRADA, COM ISOLADOR - FORNECIMENTO E INSTALAÇÃO. AF_12/2017</t>
  </si>
  <si>
    <t>CORDOALHA DE COBRE NU 50 MM², NÃO ENTERRADA, COM ISOLADOR - FORNECIMENTO E INSTALAÇÃO. AF_12/2017</t>
  </si>
  <si>
    <t>CORDOALHA DE COBRE NU 70 MM², NÃO ENTERRADA, COM ISOLADOR - FORNECIMENTO E INSTALAÇÃO. AF_12/2017</t>
  </si>
  <si>
    <t>CORDOALHA DE COBRE NU 95 MM², NÃO ENTERRADA, COM ISOLADOR - FORNECIMENTO E INSTALAÇÃO. AF_12/2017</t>
  </si>
  <si>
    <t>CORDOALHA DE COBRE NU 50 MM², ENTERRADA, SEM ISOLADOR - FORNECIMENTO E INSTALAÇÃO. AF_12/2017</t>
  </si>
  <si>
    <t>CORDOALHA DE COBRE NU 70 MM², ENTERRADA, SEM ISOLADOR - FORNECIMENTO E INSTALAÇÃO. AF_12/2017</t>
  </si>
  <si>
    <t>CORDOALHA DE COBRE NU 95 MM², ENTERRADA, SEM ISOLADOR - FORNECIMENTO E INSTALAÇÃO. AF_12/2017</t>
  </si>
  <si>
    <t>CAPTOR TIPO FRANKLIN PARA SPDA - FORNECIMENTO E INSTALAÇÃO. AF_12/2017</t>
  </si>
  <si>
    <t>SUPORTE ISOLADOR PARA CORDOALHA DE COBRE - FORNECIMENTO E INSTALAÇÃO. AF_12/2017</t>
  </si>
  <si>
    <t>QUADRO DE DISTRIBUIÇÃO PARA TELEFONE N.2, 20X20X12CM EM CHAPA METALICA, DE EMBUTIR, SEM ACESSORIOS, PADRÃO TELEBRAS, FORNECIMENTO E INSTALAÇÃO. AF_11/2019</t>
  </si>
  <si>
    <t>QUADRO DE DISTRIBUICAO PARA TELEFONE N.3, 40X40X12CM EM CHAPA METALICA, DE EMBUTIR, SEM ACESSORIOS, PADRAO TELEBRAS, FORNECIMENTO E INSTALAÇÃO. AF_11/2019</t>
  </si>
  <si>
    <t>QUADRO DE DISTRIBUICAO PARA TELEFONE N.4, 60X60X12CM EM CHAPA METALICA, DE EMBUTIR, SEM ACESSORIOS, PADRAO TELEBRAS, FORNECIMENTO E INSTALAÇÃO. AF_11/2019</t>
  </si>
  <si>
    <t>QUADRO DE DISTRIBUIÇÃO PARA TELEFONE N.5, 80X80X12CM EM CHAPA METALICA, SEM ACESSORIOS, PADRAO TELEBRAS, FORNECIMENTO E INSTALAÇÃO. AF_11/2019</t>
  </si>
  <si>
    <t>CAIXA DE PASSAGEM PARA TELEFONE 15X15X10CM (SOBREPOR), FORNECIMENTO E INSTALACAO. AF_11/2019</t>
  </si>
  <si>
    <t>CAIXA DE PASSAGEM PARA TELEFONE 80X80X15CM (SOBREPOR) FORNECIMENTO E INSTALACAO. AF_11/2019</t>
  </si>
  <si>
    <t>CABO ELETRÔNICO CATEGORIA 5E, INSTALADO EM EDIFICAÇÃO RESIDENCIAL - FORNECIMENTO E INSTALAÇÃO. AF_11/2019</t>
  </si>
  <si>
    <t>CABO ELETRÔNICO CATEGORIA 5E, INSTALADO EM EDIFICAÇÃO INSTITUCIONAL - FORNECIMENTO E INSTALAÇÃO. AF_11/2019</t>
  </si>
  <si>
    <t>CABO ELETRÔNICO CATEGORIA 6, INSTALADO EM EDIFICAÇÃO RESIDENCIAL - FORNECIMENTO E INSTALAÇÃO. AF_11/2019</t>
  </si>
  <si>
    <t>CABO ELETRÔNICO CATEGORIA 6, INSTALADO EM EDIFICAÇÃO INSTITUCIONAL - FORNECIMENTO E INSTALAÇÃO. AF_11/2019</t>
  </si>
  <si>
    <t>PATCH PANEL 24 PORTAS, CATEGORIA 5E - FORNECIMENTO E INSTALAÇÃO. AF_11/2019</t>
  </si>
  <si>
    <t>PATCH PANEL 24 PORTAS, CATEGORIA 6 - FORNECIMENTO E INSTALAÇÃO. AF_11/2019</t>
  </si>
  <si>
    <t>PATCH PANEL 48 PORTAS, CATEGORIA 6 - FORNECIMENTO E INSTALAÇÃO. AF_11/2019</t>
  </si>
  <si>
    <t>TOMADA DE REDE RJ45 - FORNECIMENTO E INSTALAÇÃO. AF_11/2019</t>
  </si>
  <si>
    <t>TOMADA PARA TELEFONE RJ11 - FORNECIMENTO E INSTALAÇÃO. AF_11/2019</t>
  </si>
  <si>
    <t>PATCH PANEL 48 PORTAS, CATEGORIA 5E - FORNECIMENTO E INSTALAÇÃO. AF_11/2019</t>
  </si>
  <si>
    <t>CABO TELEFÔNICO CTP-APL-50 10 PARES INSTALADO EM ENTRADA DE EDIFICAÇÃO - FORNECIMENTO E INSTALAÇÃO. AF_11/2019</t>
  </si>
  <si>
    <t>CABO TELEFÔNICO CTP-APL-50 20 PARES INSTALADO EM ENTRADA DE EDIFICAÇÃO - FORNECIMENTO E INSTALAÇÃO. AF_11/2019</t>
  </si>
  <si>
    <t>CABO TELEFÔNICO CTP-APL-50 30 PARES INSTALADO EM ENTRADA DE EDIFICAÇÃO - FORNECIMENTO E INSTALAÇÃO. AF_11/2019</t>
  </si>
  <si>
    <t>CABO TELEFÔNICO CI-50 10 PARES INSTALADO EM ENTRADA DE EDIFICAÇÃO - FORNECIMENTO E INSTALAÇÃO. AF_11/2019</t>
  </si>
  <si>
    <t>CABO TELEFÔNICO CI-50 20 PARES INSTALADO EM ENTRADA DE EDIFICAÇÃO - FORNECIMENTO E INSTALAÇÃO. AF_11/2019</t>
  </si>
  <si>
    <t>CABO TELEFÔNICO CI-50 30 PARES INSTALADO EM ENTRADA DE EDIFICAÇÃO - FORNECIMENTO E INSTALAÇÃO. AF_11/2019</t>
  </si>
  <si>
    <t>CABO TELEFÔNICO CI-50 50 PARES INSTALADO EM ENTRADA DE EDIFICAÇÃO - FORNECIMENTO E INSTALAÇÃO. AF_11/2019</t>
  </si>
  <si>
    <t>CABO TELEFÔNICO CI-50 75 PARES INSTALADO EM ENTRADA DE EDIFICAÇÃO - FORNECIMENTO E INSTALAÇÃO. AF_11/2019</t>
  </si>
  <si>
    <t>CABO TELEFÔNICO CI-50 200 PARES INSTALADO EM ENTRADA DE EDIFICAÇÃO - FORNECIMENTO E INSTALAÇÃO. AF_11/2019</t>
  </si>
  <si>
    <t>CABO TELEFÔNICO CI-50 10 PARES INSTALADO EM PRUMADA - FORNECIMENTO E INSTALAÇÃO. AF_11/2019</t>
  </si>
  <si>
    <t>CABO TELEFÔNICO CI-50 20 PARES INSTALADO EM PRUMADA - FORNECIMENTO E INSTALAÇÃO. AF_11/2019</t>
  </si>
  <si>
    <t>CABO TELEFÔNICO CI-50 30 PARES INSTALADO EM PRUMADA - FORNECIMENTO E INSTALAÇÃO. AF_11/2019</t>
  </si>
  <si>
    <t>CABO TELEFÔNICO CI-50 50 PARES INSTALADO EM PRUMADA - FORNECIMENTO E INSTALAÇÃO. AF_11/2019</t>
  </si>
  <si>
    <t>CABO TELEFÔNICO CI-50 10 PARES INSTALADO EM DISTRIBUIÇÃO DE EDIFICAÇÃO RESIDENCIAL - FORNECIMENTO E INSTALAÇÃO. AF_11/2019</t>
  </si>
  <si>
    <t>CABO TELEFÔNICO CI-50 10 PARES INSTALADO EM DISTRIBUIÇÃO DE EDIFICAÇÃO INSTITUCIONAL - FORNECIMENTO E INSTALAÇÃO. AF_11/2019</t>
  </si>
  <si>
    <t>CABO TELEFÔNICO CCI-50 1 PAR, INSTALADO EM ENTRADA DE EDIFICAÇÃO - FORNECIMENTO E INSTALAÇÃO. AF_11/2019</t>
  </si>
  <si>
    <t>CABO TELEFÔNICO CCI-50 2 PARES, SEM BLINDAGEM, INSTALADO EM ENTRADA DE EDIFICAÇÃO - FORNECIMENTO E INSTALAÇÃO. AF_11/2019</t>
  </si>
  <si>
    <t>CABO TELEFÔNICO CCI-50 3 PARES, SEM BLINDAGEM, INSTALADO EM ENTRADA DE EDIFICAÇÃO - FORNECIMENTO E INSTALAÇÃO. AF_11/2019</t>
  </si>
  <si>
    <t>CABO TELEFÔNICO CCI-50 4 PARES, SEM BLINDAGEM, INSTALADO EM ENTRADA DE EDIFICAÇÃO - FORNECIMENTO E INSTALAÇÃO. AF_11/2019</t>
  </si>
  <si>
    <t>CABO TELEFÔNICO CCI-50 5 PARES, SEM BLINDAGEM, INSTALADO EM ENTRADA DE EDIFICAÇÃO - FORNECIMENTO E INSTALAÇÃO. AF_11/2019</t>
  </si>
  <si>
    <t>CABO TELEFÔNICO CCI-50 6 PARES, SEM BLINDAGEM, INSTALADO EM ENTRADA DE EDIFICAÇÃO - FORNECIMENTO E INSTALAÇÃO. AF_11/2019</t>
  </si>
  <si>
    <t>CABO TELEFÔNICO CCI-50 4 PARES, SEM BLINDAGEM, INSTALADO EM PRUMADA - FORNECIMENTO E INSTALAÇÃO. AF_11/2019</t>
  </si>
  <si>
    <t>CABO TELEFÔNICO CCI-50 5 PARES, SEM BLINDAGEM, INSTALADO EM PRUMADA - FORNECIMENTO E INSTALAÇÃO. AF_11/2019</t>
  </si>
  <si>
    <t>CABO TELEFÔNICO CCI-50 6 PARES, SEM BLINDAGEM, INSTALADO EM PRUMADA - FORNECIMENTO E INSTALAÇÃO. AF_11/2019</t>
  </si>
  <si>
    <t>CABO TELEFÔNICO CCI-50 1 PAR, SEM BLINDAGEM, INSTALADO EM DISTRIBUIÇÃO DE EDIFICAÇÃO RESIDENCIAL - FORNECIMENTO E INSTALAÇÃO. AF_11/2019</t>
  </si>
  <si>
    <t>CABO TELEFÔNICO CCI-50 2 PARES, SEM BLINDAGEM, INSTALADO EM DISTRIBUIÇÃO DE EDIFICAÇÃO RESIDENCIAL - FORNECIMENTO E INSTALAÇÃO. AF_11/2019</t>
  </si>
  <si>
    <t>CABO TELEFÔNICO CCI-50 3 PARES, SEM BLINDAGEM, INSTALADO EM DISTRIBUIÇÃO DE EDIFICAÇÃO RESIDENCIAL - FORNECIMENTO E INSTALAÇÃO. AF_11/2019</t>
  </si>
  <si>
    <t>CABO TELEFÔNICO CCI-50 4 PARES, SEM BLINDAGEM, INSTALADO EM DISTRIBUIÇÃO DE EDIFICAÇÃO RESIDENCIAL - FORNECIMENTO E INSTALAÇÃO. AF_11/2019</t>
  </si>
  <si>
    <t>CABO TELEFÔNICO CCI-50 5 PARES, SEM BLINDAGEM, INSTALADO EM DISTRIBUIÇÃO DE EDIFICAÇÃO RESIDENCIAL - FORNECIMENTO E INSTALAÇÃO. AF_11/2019</t>
  </si>
  <si>
    <t>CABO TELEFÔNICO CCI-50 6 PARES, SEM BLINDAGEM, INSTALADO EM DISTRIBUIÇÃO DE EDIFICAÇÃO RESIDENCIAL - FORNECIMENTO E INSTALAÇÃO. AF_11/2019</t>
  </si>
  <si>
    <t>CABO TELEFÔNICO CCI-50 1 PAR, SEM BLINDAGEM, INSTALADO EM DISTRIBUIÇÃO DE EDIFICAÇÃO INSTITUCIONAL - FORNECIMENTO E INSTALAÇÃO. AF_11/2019</t>
  </si>
  <si>
    <t>CABO TELEFÔNICO CCI-50 2 PARES, SEM BLINDAGEM, INSTALADO EM DISTRIBUIÇÃO DE EDIFICAÇÃO INSTITUCIONAL - FORNECIMENTO E INSTALAÇÃO. AF_11/2019</t>
  </si>
  <si>
    <t>CABO TELEFÔNICO CCI-50 3 PARES, SEM BLINDAGEM, INSTALADO EM DISTRIBUIÇÃO DE EDIFICAÇÃO INSTITUCIONAL - FORNECIMENTO E INSTALAÇÃO. AF_11/2019</t>
  </si>
  <si>
    <t>CABO TELEFÔNICO CCI-50 4 PARES, SEM BLINDAGEM, INSTALADO EM DISTRIBUIÇÃO DE EDIFICAÇÃO INSTITUCIONAL - FORNECIMENTO E INSTALAÇÃO. AF_11/2019</t>
  </si>
  <si>
    <t>CABO TELEFÔNICO CCI-50 5 PARES, SEM BLINDAGEM, INSTALADO EM DISTRIBUIÇÃO DE EDIFICAÇÃO INSTITUCIONAL - FORNECIMENTO E INSTALAÇÃO. AF_11/2019</t>
  </si>
  <si>
    <t>CABO TELEFÔNICO CCI-50 6 PARES, SEM BLINDAGEM, INSTALADO EM DISTRIBUIÇÃO DE EDIFICAÇÃO INSTITUCIONAL - FORNECIMENTO E INSTALAÇÃO. AF_11/2019</t>
  </si>
  <si>
    <t>PINTURA ANTICORROSIVA DE DUTO METÁLICO. AF_04/2018</t>
  </si>
  <si>
    <t>TUBO EM COBRE FLEXÍVEL, DN 1/4, COM ISOLAMENTO, INSTALADO EM RAMAL DE ALIMENTAÇÃO DE AR CONDICIONADO COM CONDENSADORA INDIVIDUAL   FORNECIMENTO E INSTALAÇÃO. AF_12/2015</t>
  </si>
  <si>
    <t>TUBO EM COBRE FLEXÍVEL, DN 3/8", COM ISOLAMENTO, INSTALADO EM RAMAL DE ALIMENTAÇÃO DE AR CONDICIONADO COM CONDENSADORA INDIVIDUAL  FORNECIMENTO E INSTALAÇÃO. AF_12/2015</t>
  </si>
  <si>
    <t>TUBO EM COBRE FLEXÍVEL, DN 1/2", COM ISOLAMENTO, INSTALADO EM RAMAL DE ALIMENTAÇÃO DE AR CONDICIONADO COM CONDENSADORA INDIVIDUAL  FORNECIMENTO E INSTALAÇÃO. AF_12/2015</t>
  </si>
  <si>
    <t>TUBO EM COBRE FLEXÍVEL, DN 5/8", COM ISOLAMENTO, INSTALADO EM RAMAL DE ALIMENTAÇÃO DE AR CONDICIONADO COM CONDENSADORA INDIVIDUAL  FORNECIMENTO E INSTALAÇÃO. AF_12/2015</t>
  </si>
  <si>
    <t>TUBO EM COBRE FLEXÍVEL, DN 1/4", COM ISOLAMENTO, INSTALADO EM RAMAL DE ALIMENTAÇÃO DE AR CONDICIONADO COM CONDENSADORA CENTRAL  FORNECIMENTO E INSTALAÇÃO. AF_12/2015</t>
  </si>
  <si>
    <t>TUBO EM COBRE FLEXÍVEL, DN 3/8", COM ISOLAMENTO, INSTALADO EM RAMAL DE ALIMENTAÇÃO DE AR CONDICIONADO COM CONDENSADORA CENTRAL  FORNECIMENTO E INSTALAÇÃO. AF_12/2015</t>
  </si>
  <si>
    <t>TUBO EM COBRE FLEXÍVEL, DN 1/2", COM ISOLAMENTO, INSTALADO EM RAMAL DE ALIMENTAÇÃO DE AR CONDICIONADO COM CONDENSADORA CENTRAL  FORNECIMENTO E INSTALAÇÃO. AF_12/2015</t>
  </si>
  <si>
    <t>TUBO EM COBRE FLEXÍVEL, DN 5/8, COM ISOLAMENTO, INSTALADO EM RAMAL DE ALIMENTAÇÃO DE AR CONDICIONADO COM CONDENSADORA CENTRAL   FORNECIMENTO E INSTALAÇÃO. AF_12/2015</t>
  </si>
  <si>
    <t>Gabião tipo caixa 2x1x0,50m ZN/AL + PVC  (NBR 8964)</t>
  </si>
  <si>
    <t>Pedra de mão</t>
  </si>
  <si>
    <t>Gabião tipo caixa 2x1x0,50m ZN/AL (NBR 8964)</t>
  </si>
  <si>
    <t>Gabião tipo caixa 2x1x1,00m ZN/AL + PVC (NBR 8964)</t>
  </si>
  <si>
    <t>Gabião tipo caixa 2x1x1,00m ZN/AL (NBR 8964)</t>
  </si>
  <si>
    <t>Gabião tipo colchão ZN/AL + PVC e=0,17m (NBR 8964)</t>
  </si>
  <si>
    <t>Gabião tipo colchão ZN/AL + PVC e=0,23m (NBR 8964)</t>
  </si>
  <si>
    <t>Gabião tipo colchão ZN/AL + PVC e=0,30m (NBR 8964)</t>
  </si>
  <si>
    <t>Reaterro e apiloamento mecânico</t>
  </si>
  <si>
    <t>Concreto Símples Fck = 9 Mpa</t>
  </si>
  <si>
    <t>Concreto Fck = 20 Mpa</t>
  </si>
  <si>
    <t>Concreto Fck = 22 Mpa</t>
  </si>
  <si>
    <t>Concreto Fck = 24 Mpa</t>
  </si>
  <si>
    <t>Concreto Fck = 25 Mpa</t>
  </si>
  <si>
    <t>Concreto Fck = 30 Mpa</t>
  </si>
  <si>
    <t>Concreto Fck = 32 Mpa</t>
  </si>
  <si>
    <t>74022/55</t>
  </si>
  <si>
    <t>m4</t>
  </si>
  <si>
    <t>PAI-17A</t>
  </si>
  <si>
    <t>600310A</t>
  </si>
  <si>
    <t>800900A</t>
  </si>
  <si>
    <t>801100A</t>
  </si>
  <si>
    <t>600510A</t>
  </si>
  <si>
    <t>Orçacivil</t>
  </si>
  <si>
    <t>PLACA ESMALTADA PARA IDENTIFICAÇÃO NR DE RUA, DIMENSÕES 45X25CM</t>
  </si>
  <si>
    <t>841000A</t>
  </si>
  <si>
    <t>840000A</t>
  </si>
  <si>
    <t>511130A</t>
  </si>
  <si>
    <t>520100B</t>
  </si>
  <si>
    <t>520200B</t>
  </si>
  <si>
    <t>511130B</t>
  </si>
  <si>
    <t>511000A</t>
  </si>
  <si>
    <t>511000B</t>
  </si>
  <si>
    <t>400500A</t>
  </si>
  <si>
    <t>532600A</t>
  </si>
  <si>
    <t>532600B</t>
  </si>
  <si>
    <t>511100A</t>
  </si>
  <si>
    <t>511100B</t>
  </si>
  <si>
    <t>511300A</t>
  </si>
  <si>
    <t>511300B</t>
  </si>
  <si>
    <t xml:space="preserve">  </t>
  </si>
  <si>
    <t>535200A</t>
  </si>
  <si>
    <t>521450B</t>
  </si>
  <si>
    <t>521450C</t>
  </si>
  <si>
    <t>521450E</t>
  </si>
  <si>
    <t>521450F</t>
  </si>
  <si>
    <t>521450H</t>
  </si>
  <si>
    <t>521450I</t>
  </si>
  <si>
    <t>863000A</t>
  </si>
  <si>
    <t>863000B</t>
  </si>
  <si>
    <t>534906A</t>
  </si>
  <si>
    <t>534906B</t>
  </si>
  <si>
    <t>101090A</t>
  </si>
  <si>
    <t>863000C</t>
  </si>
  <si>
    <t>863000D</t>
  </si>
  <si>
    <t>534906G</t>
  </si>
  <si>
    <t>534906H</t>
  </si>
  <si>
    <t>534906I</t>
  </si>
  <si>
    <t>534906J</t>
  </si>
  <si>
    <t>534906K</t>
  </si>
  <si>
    <t>534906L</t>
  </si>
  <si>
    <t>534908G</t>
  </si>
  <si>
    <t>534908H</t>
  </si>
  <si>
    <t>101090B</t>
  </si>
  <si>
    <t>562100A</t>
  </si>
  <si>
    <t>562100B</t>
  </si>
  <si>
    <t>562200A</t>
  </si>
  <si>
    <t>562200B</t>
  </si>
  <si>
    <t>PAV-003A</t>
  </si>
  <si>
    <t>PAV-005A</t>
  </si>
  <si>
    <t>PAV-003B</t>
  </si>
  <si>
    <t>PAV-005B</t>
  </si>
  <si>
    <t>Imprimação com Emulsão RR-1C- exclusive emulsão</t>
  </si>
  <si>
    <t>Fornecimento de emulsão RR-2C - TSD com Capa Selante Tipo - I-2</t>
  </si>
  <si>
    <t>Fornecimento de Emulsão RM-2C - Pré-Misturado a Frio (Denso) - DER</t>
  </si>
  <si>
    <t>534000C</t>
  </si>
  <si>
    <t>534300D</t>
  </si>
  <si>
    <t>534300E</t>
  </si>
  <si>
    <t>606600C</t>
  </si>
  <si>
    <t>606600D</t>
  </si>
  <si>
    <t>.</t>
  </si>
  <si>
    <t>606700C</t>
  </si>
  <si>
    <t>606700D</t>
  </si>
  <si>
    <t>810250E</t>
  </si>
  <si>
    <t>810250F</t>
  </si>
  <si>
    <t>810250G</t>
  </si>
  <si>
    <t>PAI-17B</t>
  </si>
  <si>
    <t>600310B</t>
  </si>
  <si>
    <t>600310C</t>
  </si>
  <si>
    <t>800900B</t>
  </si>
  <si>
    <t>801100B</t>
  </si>
  <si>
    <t>COMPOSIÇÃO1</t>
  </si>
  <si>
    <t>841000B</t>
  </si>
  <si>
    <t>97623A</t>
  </si>
  <si>
    <t xml:space="preserve">DEMOLIÇÃO DE ALVENARIA DE TIJOLO  COM REAPROVEITAMENTO. </t>
  </si>
  <si>
    <t>97624A</t>
  </si>
  <si>
    <t>DEMOLIÇÃO DE ALVENARIA DE TIJOLO SEM APROVEITAMENTO</t>
  </si>
  <si>
    <t>97623B</t>
  </si>
  <si>
    <t>97624B</t>
  </si>
  <si>
    <t>606500B</t>
  </si>
  <si>
    <t>97623C</t>
  </si>
  <si>
    <t>97624C</t>
  </si>
  <si>
    <t>606500C</t>
  </si>
  <si>
    <t>532500B</t>
  </si>
  <si>
    <t>532500D</t>
  </si>
  <si>
    <t>603900B</t>
  </si>
  <si>
    <t>400500B</t>
  </si>
  <si>
    <t>Colchão de Areia para fundação de Aterro( Rio / Jazida )</t>
  </si>
  <si>
    <t>Colchão de Areia para assentamento de calçadas</t>
  </si>
  <si>
    <t>Colchão de Argila/saibro/matr. jazida para assentamento de calçadas</t>
  </si>
  <si>
    <t>Colchão de pó de pedra para assentamento de calçadas</t>
  </si>
  <si>
    <t>400500C</t>
  </si>
  <si>
    <t>603900D</t>
  </si>
  <si>
    <t>100576A</t>
  </si>
  <si>
    <t>583100A</t>
  </si>
  <si>
    <t>583100B</t>
  </si>
  <si>
    <t>583100C</t>
  </si>
  <si>
    <t>584200A</t>
  </si>
  <si>
    <t>584200B</t>
  </si>
  <si>
    <t>584200C</t>
  </si>
  <si>
    <t>534300A</t>
  </si>
  <si>
    <t>534300B</t>
  </si>
  <si>
    <t>534300C</t>
  </si>
  <si>
    <t>570300A</t>
  </si>
  <si>
    <t>570310A</t>
  </si>
  <si>
    <t>601100A</t>
  </si>
  <si>
    <t>601100B</t>
  </si>
  <si>
    <t>602100A</t>
  </si>
  <si>
    <t>602100B</t>
  </si>
  <si>
    <t>602100C</t>
  </si>
  <si>
    <t>605000G</t>
  </si>
  <si>
    <t>605000H</t>
  </si>
  <si>
    <t>605000I</t>
  </si>
  <si>
    <t>605000J</t>
  </si>
  <si>
    <t>605000K</t>
  </si>
  <si>
    <t>605000O</t>
  </si>
  <si>
    <t>563100A</t>
  </si>
  <si>
    <t>823000A</t>
  </si>
  <si>
    <t>823000B</t>
  </si>
  <si>
    <t>820000J</t>
  </si>
  <si>
    <t>606000A</t>
  </si>
  <si>
    <t>606000B</t>
  </si>
  <si>
    <t>605200A</t>
  </si>
  <si>
    <t>605200B</t>
  </si>
  <si>
    <t>605400A</t>
  </si>
  <si>
    <t>605400B</t>
  </si>
  <si>
    <t>603700A</t>
  </si>
  <si>
    <t>603800A</t>
  </si>
  <si>
    <t>603700B</t>
  </si>
  <si>
    <t>603800B</t>
  </si>
  <si>
    <t>600000A</t>
  </si>
  <si>
    <t>600000B</t>
  </si>
  <si>
    <t>633000A</t>
  </si>
  <si>
    <t>633000B</t>
  </si>
  <si>
    <t>633100A</t>
  </si>
  <si>
    <t>633200A</t>
  </si>
  <si>
    <t>633100B</t>
  </si>
  <si>
    <t>633200B</t>
  </si>
  <si>
    <t>601200A</t>
  </si>
  <si>
    <t>601200B</t>
  </si>
  <si>
    <t>620000A</t>
  </si>
  <si>
    <t>620000B</t>
  </si>
  <si>
    <t>620000C</t>
  </si>
  <si>
    <t>620100A</t>
  </si>
  <si>
    <t>620100B</t>
  </si>
  <si>
    <t>620100C</t>
  </si>
  <si>
    <t>620100D</t>
  </si>
  <si>
    <t>620200A</t>
  </si>
  <si>
    <t>620200B</t>
  </si>
  <si>
    <t>620200C</t>
  </si>
  <si>
    <t>610400A</t>
  </si>
  <si>
    <t>610400B</t>
  </si>
  <si>
    <t>610400C</t>
  </si>
  <si>
    <t>610400D</t>
  </si>
  <si>
    <t>610600A</t>
  </si>
  <si>
    <t>610600B</t>
  </si>
  <si>
    <t>610600C</t>
  </si>
  <si>
    <t>610600D</t>
  </si>
  <si>
    <t>610600E</t>
  </si>
  <si>
    <t>610600F</t>
  </si>
  <si>
    <t>610800A</t>
  </si>
  <si>
    <t>610800B</t>
  </si>
  <si>
    <t>610800C</t>
  </si>
  <si>
    <t>610800D</t>
  </si>
  <si>
    <t>610800E</t>
  </si>
  <si>
    <t>610700A</t>
  </si>
  <si>
    <t>610700B</t>
  </si>
  <si>
    <t>610900A</t>
  </si>
  <si>
    <t>610900B</t>
  </si>
  <si>
    <t>611000A</t>
  </si>
  <si>
    <t>611000B</t>
  </si>
  <si>
    <t>611000C</t>
  </si>
  <si>
    <t>611000D</t>
  </si>
  <si>
    <t>611200A</t>
  </si>
  <si>
    <t>611200B</t>
  </si>
  <si>
    <t>611400A</t>
  </si>
  <si>
    <t>611400B</t>
  </si>
  <si>
    <t>611400C</t>
  </si>
  <si>
    <t>611400D</t>
  </si>
  <si>
    <t>611600A</t>
  </si>
  <si>
    <t>611600B</t>
  </si>
  <si>
    <t>611100A</t>
  </si>
  <si>
    <t>611100B</t>
  </si>
  <si>
    <t>611500A</t>
  </si>
  <si>
    <t>611500B</t>
  </si>
  <si>
    <t>SFM</t>
  </si>
  <si>
    <t>PAM</t>
  </si>
  <si>
    <t>SERVIÇOS EXTRAS - SERVIÇOS DE URBANIZAÇÃO</t>
  </si>
  <si>
    <t>CBUQ c/ asfalto com BORRACHA - AB8</t>
  </si>
  <si>
    <t>CBUQ c/ asfalto com BORRACHA - AB22</t>
  </si>
  <si>
    <t>Fornecimento de ASFALTO-BORRACHA - CBUQ com borracha - AB22</t>
  </si>
  <si>
    <t>PINI</t>
  </si>
  <si>
    <t>Escavação de mat. 1a. cat./sem transporte</t>
  </si>
  <si>
    <t>Escavação de mat. 2a. cat./sem transporte</t>
  </si>
  <si>
    <t>Escavação de mat. 3a. cat./sem transporte</t>
  </si>
  <si>
    <t>02.105.000040.SER</t>
  </si>
  <si>
    <t>Carga de mat. 1a. cat./sem transporte</t>
  </si>
  <si>
    <t>Escavação e carga mat. 1a. cat./sem transporte</t>
  </si>
  <si>
    <t>Escavação e carga mat. 2a. cat./sem transporte</t>
  </si>
  <si>
    <t>Escavação e carga mat. 3a. cat./sem transporte</t>
  </si>
  <si>
    <t>Escavação, Carga e Transp. de jazida 3ª Cat. (ROCHA)</t>
  </si>
  <si>
    <t>605300A</t>
  </si>
  <si>
    <t xml:space="preserve">840000B </t>
  </si>
  <si>
    <t>600510 B</t>
  </si>
  <si>
    <t>605300B</t>
  </si>
  <si>
    <t>ENSAIOS TECNOLÓGICOS
(Os custos com mobilização e desmobilização de equipe e equipamentos para a extração de amostras para os ensaios tecnológicos, exceto da capa asfáltica, serão de responsabilidade da empresa executora da obra.)</t>
  </si>
  <si>
    <t>Ensaio de tracao por compressao diametral - misturas betuminosas</t>
  </si>
  <si>
    <t>Extração de corpo de prova de concreto asfáltico com sonda rotativa</t>
  </si>
  <si>
    <t>Mobilização e desmobilização de equipamento e equipe para extração de corpos de prova da capa asfáltica.</t>
  </si>
  <si>
    <t>831000A</t>
  </si>
  <si>
    <t>830000A</t>
  </si>
  <si>
    <t>606600A</t>
  </si>
  <si>
    <t>606700A</t>
  </si>
  <si>
    <t>606500A</t>
  </si>
  <si>
    <t>520100A</t>
  </si>
  <si>
    <t>520200A</t>
  </si>
  <si>
    <t>Escavação, Carga e Transp. 1ª Cat.</t>
  </si>
  <si>
    <t>Escavação, Carga e Transp. 2ª Cat.</t>
  </si>
  <si>
    <t>520100C</t>
  </si>
  <si>
    <t>520100D</t>
  </si>
  <si>
    <t>532500A</t>
  </si>
  <si>
    <t>603900A</t>
  </si>
  <si>
    <t>605000A</t>
  </si>
  <si>
    <t>533500A</t>
  </si>
  <si>
    <t>533100A</t>
  </si>
  <si>
    <t>533100B</t>
  </si>
  <si>
    <r>
      <t xml:space="preserve">Solo Cimento(Pista)- </t>
    </r>
    <r>
      <rPr>
        <b/>
        <sz val="10"/>
        <rFont val="Arial"/>
        <family val="2"/>
      </rPr>
      <t>7%</t>
    </r>
  </si>
  <si>
    <r>
      <t xml:space="preserve">Solo Cimento(Usina) - </t>
    </r>
    <r>
      <rPr>
        <b/>
        <sz val="10"/>
        <rFont val="Arial"/>
        <family val="2"/>
      </rPr>
      <t>7%</t>
    </r>
  </si>
  <si>
    <t>530200A</t>
  </si>
  <si>
    <t>530200B</t>
  </si>
  <si>
    <t>531000A</t>
  </si>
  <si>
    <t>PAV-085</t>
  </si>
  <si>
    <t>560100A</t>
  </si>
  <si>
    <t>589420A</t>
  </si>
  <si>
    <t>DER mat</t>
  </si>
  <si>
    <t>560100B</t>
  </si>
  <si>
    <t>589190A</t>
  </si>
  <si>
    <t>560400A</t>
  </si>
  <si>
    <t>589100A</t>
  </si>
  <si>
    <t>561100A</t>
  </si>
  <si>
    <t>589420B</t>
  </si>
  <si>
    <t>521450A</t>
  </si>
  <si>
    <t>535000A</t>
  </si>
  <si>
    <t>589170A</t>
  </si>
  <si>
    <t>589170B</t>
  </si>
  <si>
    <t>589170C</t>
  </si>
  <si>
    <t>589170D</t>
  </si>
  <si>
    <t>589520A</t>
  </si>
  <si>
    <t>589520B</t>
  </si>
  <si>
    <t>589520C</t>
  </si>
  <si>
    <t>589520D</t>
  </si>
  <si>
    <t>589520E</t>
  </si>
  <si>
    <t>589520F</t>
  </si>
  <si>
    <t>589520G</t>
  </si>
  <si>
    <t>589520H</t>
  </si>
  <si>
    <t>589000A</t>
  </si>
  <si>
    <t>589520I</t>
  </si>
  <si>
    <t>589320A</t>
  </si>
  <si>
    <t>589320B</t>
  </si>
  <si>
    <t>589320C</t>
  </si>
  <si>
    <r>
      <t>Pré-Misturado a Frio (Semi-Denso) - DER - (</t>
    </r>
    <r>
      <rPr>
        <b/>
        <sz val="10"/>
        <rFont val="Arial"/>
        <family val="2"/>
      </rPr>
      <t>REPERFILAMENTO1</t>
    </r>
    <r>
      <rPr>
        <sz val="10"/>
        <rFont val="Arial"/>
        <family val="2"/>
      </rPr>
      <t>)</t>
    </r>
  </si>
  <si>
    <t>589320D</t>
  </si>
  <si>
    <r>
      <t>Pré-Misturado a Frio (Semi-Denso) - DER - (</t>
    </r>
    <r>
      <rPr>
        <b/>
        <sz val="10"/>
        <rFont val="Arial"/>
        <family val="2"/>
      </rPr>
      <t>CAPA1</t>
    </r>
    <r>
      <rPr>
        <sz val="10"/>
        <rFont val="Arial"/>
        <family val="2"/>
      </rPr>
      <t>)</t>
    </r>
  </si>
  <si>
    <t>589320E</t>
  </si>
  <si>
    <r>
      <t>Pré-Misturado a Frio (Semi-Denso) - DER - (</t>
    </r>
    <r>
      <rPr>
        <b/>
        <sz val="10"/>
        <rFont val="Arial"/>
        <family val="2"/>
      </rPr>
      <t>REPERFILAMENTO2</t>
    </r>
    <r>
      <rPr>
        <sz val="10"/>
        <rFont val="Arial"/>
        <family val="2"/>
      </rPr>
      <t>)</t>
    </r>
  </si>
  <si>
    <t>589320F</t>
  </si>
  <si>
    <r>
      <t>Pré-Misturado a Frio (Semi-Denso) - DER - (</t>
    </r>
    <r>
      <rPr>
        <b/>
        <sz val="10"/>
        <rFont val="Arial"/>
        <family val="2"/>
      </rPr>
      <t>CAPA2</t>
    </r>
    <r>
      <rPr>
        <sz val="10"/>
        <rFont val="Arial"/>
        <family val="2"/>
      </rPr>
      <t>)</t>
    </r>
  </si>
  <si>
    <t>589320G</t>
  </si>
  <si>
    <t>589320H</t>
  </si>
  <si>
    <t>589000B</t>
  </si>
  <si>
    <t>589000C</t>
  </si>
  <si>
    <t>589000D</t>
  </si>
  <si>
    <t>589000E</t>
  </si>
  <si>
    <r>
      <rPr>
        <b/>
        <sz val="10"/>
        <rFont val="Arial"/>
        <family val="2"/>
      </rPr>
      <t>CBUQ - BINDER</t>
    </r>
    <r>
      <rPr>
        <sz val="10"/>
        <rFont val="Arial"/>
        <family val="2"/>
      </rPr>
      <t xml:space="preserve"> (Quantidade menor que 10000 toneladas)</t>
    </r>
  </si>
  <si>
    <t>589000F</t>
  </si>
  <si>
    <r>
      <rPr>
        <b/>
        <sz val="10"/>
        <rFont val="Arial"/>
        <family val="2"/>
      </rPr>
      <t>CBUQ - BINDER</t>
    </r>
    <r>
      <rPr>
        <sz val="10"/>
        <rFont val="Arial"/>
        <family val="2"/>
      </rPr>
      <t xml:space="preserve"> (Quantidade maior que 10000 toneladas)</t>
    </r>
  </si>
  <si>
    <t>589000G</t>
  </si>
  <si>
    <t>570000A</t>
  </si>
  <si>
    <r>
      <rPr>
        <b/>
        <sz val="10"/>
        <rFont val="Arial"/>
        <family val="2"/>
      </rPr>
      <t>CBUQ - Reperfilamento</t>
    </r>
    <r>
      <rPr>
        <sz val="10"/>
        <rFont val="Arial"/>
        <family val="2"/>
      </rPr>
      <t xml:space="preserve"> (Quantidade menor que 10000 toneladas)</t>
    </r>
  </si>
  <si>
    <t>589000H</t>
  </si>
  <si>
    <t>570000B</t>
  </si>
  <si>
    <r>
      <rPr>
        <b/>
        <sz val="10"/>
        <rFont val="Arial"/>
        <family val="2"/>
      </rPr>
      <t>CBUQ - CAPA Traço 1</t>
    </r>
    <r>
      <rPr>
        <sz val="10"/>
        <rFont val="Arial"/>
        <family val="2"/>
      </rPr>
      <t xml:space="preserve"> (Quantidade menor que 10000 toneladas)</t>
    </r>
  </si>
  <si>
    <t>589000I</t>
  </si>
  <si>
    <t>570000C</t>
  </si>
  <si>
    <r>
      <rPr>
        <b/>
        <sz val="10"/>
        <rFont val="Arial"/>
        <family val="2"/>
      </rPr>
      <t>CBUQ - CAPA Traço 2</t>
    </r>
    <r>
      <rPr>
        <sz val="10"/>
        <rFont val="Arial"/>
        <family val="2"/>
      </rPr>
      <t xml:space="preserve"> (Quantidade menor que 10000 toneladas)</t>
    </r>
  </si>
  <si>
    <t>589000J</t>
  </si>
  <si>
    <t>570000D</t>
  </si>
  <si>
    <r>
      <rPr>
        <b/>
        <sz val="10"/>
        <rFont val="Arial"/>
        <family val="2"/>
      </rPr>
      <t>CBUQ - CAPA Traço 3</t>
    </r>
    <r>
      <rPr>
        <sz val="10"/>
        <rFont val="Arial"/>
        <family val="2"/>
      </rPr>
      <t xml:space="preserve"> (Quantidade menor que 10000 toneladas)</t>
    </r>
  </si>
  <si>
    <t>589000K</t>
  </si>
  <si>
    <t>570400A</t>
  </si>
  <si>
    <r>
      <rPr>
        <b/>
        <sz val="10"/>
        <rFont val="Arial"/>
        <family val="2"/>
      </rPr>
      <t>CBUQ - CAPA Traço 1</t>
    </r>
    <r>
      <rPr>
        <sz val="10"/>
        <rFont val="Arial"/>
        <family val="2"/>
      </rPr>
      <t xml:space="preserve"> (Quantidade maior que 10000 toneladas)</t>
    </r>
  </si>
  <si>
    <t>589000L</t>
  </si>
  <si>
    <t>570400B</t>
  </si>
  <si>
    <r>
      <rPr>
        <b/>
        <sz val="10"/>
        <rFont val="Arial"/>
        <family val="2"/>
      </rPr>
      <t>CBUQ - CAPA Traço 2</t>
    </r>
    <r>
      <rPr>
        <sz val="10"/>
        <rFont val="Arial"/>
        <family val="2"/>
      </rPr>
      <t xml:space="preserve"> (Quantidade maior que 10000 toneladas)</t>
    </r>
  </si>
  <si>
    <t>589000M</t>
  </si>
  <si>
    <t>570400C</t>
  </si>
  <si>
    <r>
      <rPr>
        <b/>
        <sz val="10"/>
        <rFont val="Arial"/>
        <family val="2"/>
      </rPr>
      <t>CBUQ - CAPA Traço 3</t>
    </r>
    <r>
      <rPr>
        <sz val="10"/>
        <rFont val="Arial"/>
        <family val="2"/>
      </rPr>
      <t xml:space="preserve"> (Quantidade maior que 10000 toneladas)</t>
    </r>
  </si>
  <si>
    <t>589000N</t>
  </si>
  <si>
    <t>Fornecimento de CAP (60/85) - CBUQ c/ asfalto modificado p/ polímero</t>
  </si>
  <si>
    <t>Fornecimento de ASFALTO-BORRACHA - CBUQ com borracha - AB8</t>
  </si>
  <si>
    <t>535200B</t>
  </si>
  <si>
    <t>Meio-Fio com Sarjeta DER - Tipo 7 - (0,031 m3) - Pré-Moldado</t>
  </si>
  <si>
    <t>810250D</t>
  </si>
  <si>
    <t>Meio-Fio com Sarjeta DER - Tipo 3 - (0,034 m3) - Pré-Moldado</t>
  </si>
  <si>
    <t>Meio-Fio Símples DER - Tipo 4 - (0,072 m3) - Moldado "in loco"</t>
  </si>
  <si>
    <t>Meio-Fio com Sarjeta DER - Tipo 4 - (0,072 m3) - Pré-Moldado</t>
  </si>
  <si>
    <t>606700B</t>
  </si>
  <si>
    <t>606600B</t>
  </si>
  <si>
    <t>100576B</t>
  </si>
  <si>
    <t>532500C</t>
  </si>
  <si>
    <t>603900C</t>
  </si>
  <si>
    <t>605000B</t>
  </si>
  <si>
    <t>603000A</t>
  </si>
  <si>
    <t>603300A</t>
  </si>
  <si>
    <t>605000C</t>
  </si>
  <si>
    <t>605000D</t>
  </si>
  <si>
    <t>605000E</t>
  </si>
  <si>
    <t>605000F</t>
  </si>
  <si>
    <t>520100E</t>
  </si>
  <si>
    <t>520100F</t>
  </si>
  <si>
    <t>533500B</t>
  </si>
  <si>
    <t>533100C</t>
  </si>
  <si>
    <t>533100D</t>
  </si>
  <si>
    <t>530200C</t>
  </si>
  <si>
    <t>530200D</t>
  </si>
  <si>
    <t>531000B</t>
  </si>
  <si>
    <t>560100C</t>
  </si>
  <si>
    <t>589420C</t>
  </si>
  <si>
    <t>560100D</t>
  </si>
  <si>
    <t>589190B</t>
  </si>
  <si>
    <t>560400B</t>
  </si>
  <si>
    <t>589100B</t>
  </si>
  <si>
    <t>561100B</t>
  </si>
  <si>
    <t>589420D</t>
  </si>
  <si>
    <t>563100B</t>
  </si>
  <si>
    <t>589520J</t>
  </si>
  <si>
    <t>534000D</t>
  </si>
  <si>
    <t>589320I</t>
  </si>
  <si>
    <t>534000E</t>
  </si>
  <si>
    <t>589320J</t>
  </si>
  <si>
    <t>534000F</t>
  </si>
  <si>
    <t>589320K</t>
  </si>
  <si>
    <t>534300F</t>
  </si>
  <si>
    <t>589320L</t>
  </si>
  <si>
    <t>534300G</t>
  </si>
  <si>
    <t>589320M</t>
  </si>
  <si>
    <t>534300H</t>
  </si>
  <si>
    <t>589320N</t>
  </si>
  <si>
    <t>534300I</t>
  </si>
  <si>
    <t>589320O</t>
  </si>
  <si>
    <t>534300J</t>
  </si>
  <si>
    <t>589320P</t>
  </si>
  <si>
    <t>570300B</t>
  </si>
  <si>
    <t>589000O</t>
  </si>
  <si>
    <t>570310B</t>
  </si>
  <si>
    <t>589000P</t>
  </si>
  <si>
    <t>570000E</t>
  </si>
  <si>
    <t>589000Q</t>
  </si>
  <si>
    <t>570400D</t>
  </si>
  <si>
    <t>589000R</t>
  </si>
  <si>
    <t>521450D</t>
  </si>
  <si>
    <t>535200C</t>
  </si>
  <si>
    <t>535000B</t>
  </si>
  <si>
    <t>603000B</t>
  </si>
  <si>
    <t>603300B</t>
  </si>
  <si>
    <t>520100G</t>
  </si>
  <si>
    <t>520100H</t>
  </si>
  <si>
    <t>532500E</t>
  </si>
  <si>
    <t>603900E</t>
  </si>
  <si>
    <t>605000L</t>
  </si>
  <si>
    <t>400500D</t>
  </si>
  <si>
    <t>532500F</t>
  </si>
  <si>
    <t>532600C</t>
  </si>
  <si>
    <t>603900F</t>
  </si>
  <si>
    <t>605000M</t>
  </si>
  <si>
    <t>831000B</t>
  </si>
  <si>
    <t>830000B</t>
  </si>
  <si>
    <t>521450G</t>
  </si>
  <si>
    <t>603000C</t>
  </si>
  <si>
    <t>603300C</t>
  </si>
  <si>
    <t>532500G</t>
  </si>
  <si>
    <t>603900H</t>
  </si>
  <si>
    <t>605000N</t>
  </si>
  <si>
    <t>603500B</t>
  </si>
  <si>
    <r>
      <t xml:space="preserve">DER 02/2022 
</t>
    </r>
    <r>
      <rPr>
        <b/>
        <sz val="10"/>
        <color rgb="FFFF0000"/>
        <rFont val="Arial"/>
        <family val="2"/>
      </rPr>
      <t>LIGANTES 02/2022</t>
    </r>
  </si>
  <si>
    <t>Espalhamento e conformação de bota-fora</t>
  </si>
  <si>
    <t>BERÇO DE DENTES PARA ASSENTAMENTO DE BUEIROS COM INCLINAÇÃO ACIMA DE 5%  PARA TUBOS DE 0,60m</t>
  </si>
  <si>
    <t>COMP. 01</t>
  </si>
  <si>
    <t>COMPOSIÇÃO</t>
  </si>
  <si>
    <t>BOCAIÚVA DO SUL</t>
  </si>
  <si>
    <t>PAVIMENTAÇÃO DE VIAS URBANAS</t>
  </si>
  <si>
    <t>PROJETO DE PAVIMENTAÇÃO</t>
  </si>
  <si>
    <t>RUA GERÔNIMO P. POLLI - CENTRO</t>
  </si>
  <si>
    <t>TOTAL DO PAVIMENTO (1-2-3-4)</t>
  </si>
  <si>
    <t>TOTAL DE SINALIZAÇÃO(5)</t>
  </si>
  <si>
    <t>TOTAL DE DRENAGEM (6.)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</si>
</sst>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* #,##0.00_);_(* \(#,##0.00\);_(* &quot;-&quot;??_);_(@_)"/>
    <numFmt numFmtId="165" formatCode="&quot;R$&quot;#,##0.00_);\(&quot;R$&quot;#,##0.00\)"/>
    <numFmt numFmtId="166" formatCode="0.000"/>
    <numFmt numFmtId="167" formatCode="0.0000"/>
    <numFmt numFmtId="168" formatCode="#,##0.00\ &quot;/m2&quot;_);[Red]\(#,##0.00\ &quot;/m2&quot;\)"/>
    <numFmt numFmtId="169" formatCode="0.0%"/>
    <numFmt numFmtId="170" formatCode="d/m/yy;@"/>
    <numFmt numFmtId="171" formatCode="#,##0.00\ &quot;m2&quot;"/>
    <numFmt numFmtId="172" formatCode="#,##0_ ;[Red]\-#,##0\ "/>
  </numFmts>
  <fonts count="55" x14ac:knownFonts="1">
    <font>
      <sz val="8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81"/>
      <name val="Tahoma"/>
      <family val="2"/>
    </font>
    <font>
      <sz val="9"/>
      <color indexed="81"/>
      <name val="Tahoma"/>
      <family val="2"/>
    </font>
    <font>
      <b/>
      <sz val="10"/>
      <color indexed="8"/>
      <name val="Arial"/>
      <family val="2"/>
    </font>
    <font>
      <sz val="10"/>
      <color theme="0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6"/>
      <color theme="1"/>
      <name val="Arial"/>
      <family val="2"/>
    </font>
    <font>
      <sz val="8"/>
      <color indexed="81"/>
      <name val="Segoe UI"/>
      <family val="2"/>
    </font>
    <font>
      <b/>
      <sz val="8"/>
      <color indexed="81"/>
      <name val="Segoe UI"/>
      <family val="2"/>
    </font>
    <font>
      <sz val="10"/>
      <name val="MS Sans Serif"/>
    </font>
    <font>
      <b/>
      <sz val="16"/>
      <name val="Arial"/>
      <family val="2"/>
    </font>
    <font>
      <sz val="8"/>
      <name val="MS Sans Serif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color indexed="81"/>
      <name val="Segoe UI"/>
      <family val="2"/>
    </font>
    <font>
      <sz val="14"/>
      <color theme="3" tint="0.39997558519241921"/>
      <name val="Arial"/>
      <family val="2"/>
    </font>
    <font>
      <b/>
      <sz val="10"/>
      <name val="MS Sans Serif"/>
    </font>
    <font>
      <b/>
      <sz val="8"/>
      <name val="MS Sans Serif"/>
    </font>
    <font>
      <sz val="10"/>
      <name val="Algerian"/>
      <family val="5"/>
    </font>
    <font>
      <b/>
      <sz val="2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8"/>
      <color indexed="9"/>
      <name val="Times New Roman"/>
      <family val="1"/>
    </font>
    <font>
      <b/>
      <sz val="1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indexed="12"/>
      <name val="Arial"/>
      <family val="2"/>
    </font>
    <font>
      <b/>
      <sz val="8"/>
      <color indexed="12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4"/>
      <color rgb="FF0000FF"/>
      <name val="Arial"/>
      <family val="2"/>
    </font>
    <font>
      <sz val="14"/>
      <color rgb="FF0000FF"/>
      <name val="Arial"/>
      <family val="2"/>
    </font>
    <font>
      <b/>
      <sz val="10"/>
      <color rgb="FFFF0000"/>
      <name val="MS Sans Serif"/>
    </font>
    <font>
      <b/>
      <sz val="12"/>
      <color rgb="FFFF0000"/>
      <name val="Arial"/>
      <family val="2"/>
    </font>
    <font>
      <b/>
      <sz val="14"/>
      <color rgb="FFFF0000"/>
      <name val="Arial"/>
      <family val="2"/>
    </font>
    <font>
      <sz val="11"/>
      <color theme="3" tint="0.39997558519241921"/>
      <name val="Arial"/>
      <family val="2"/>
    </font>
    <font>
      <sz val="8"/>
      <color indexed="9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4"/>
      </patternFill>
    </fill>
  </fills>
  <borders count="16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dashDotDot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dashDotDot">
        <color auto="1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DotDot">
        <color indexed="64"/>
      </right>
      <top style="medium">
        <color indexed="64"/>
      </top>
      <bottom style="thin">
        <color indexed="64"/>
      </bottom>
      <diagonal/>
    </border>
    <border>
      <left style="dashDotDot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dashDotDot">
        <color indexed="64"/>
      </right>
      <top style="medium">
        <color indexed="64"/>
      </top>
      <bottom/>
      <diagonal/>
    </border>
    <border>
      <left/>
      <right style="dashDotDot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dashDotDot">
        <color auto="1"/>
      </bottom>
      <diagonal/>
    </border>
    <border>
      <left/>
      <right/>
      <top style="hair">
        <color indexed="64"/>
      </top>
      <bottom style="dashDotDot">
        <color auto="1"/>
      </bottom>
      <diagonal/>
    </border>
    <border>
      <left/>
      <right style="hair">
        <color indexed="64"/>
      </right>
      <top style="hair">
        <color indexed="64"/>
      </top>
      <bottom style="dashDotDot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0">
    <xf numFmtId="0" fontId="0" fillId="0" borderId="0"/>
    <xf numFmtId="0" fontId="5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23" fillId="0" borderId="0"/>
    <xf numFmtId="0" fontId="26" fillId="0" borderId="0"/>
    <xf numFmtId="43" fontId="26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0" fontId="1" fillId="0" borderId="0"/>
    <xf numFmtId="0" fontId="54" fillId="0" borderId="0"/>
  </cellStyleXfs>
  <cellXfs count="840">
    <xf numFmtId="0" fontId="0" fillId="0" borderId="0" xfId="0"/>
    <xf numFmtId="0" fontId="3" fillId="2" borderId="9" xfId="0" applyFont="1" applyFill="1" applyBorder="1" applyAlignment="1">
      <alignment horizontal="left"/>
    </xf>
    <xf numFmtId="1" fontId="8" fillId="2" borderId="7" xfId="1" applyNumberFormat="1" applyFont="1" applyFill="1" applyBorder="1" applyAlignment="1">
      <alignment horizontal="center"/>
    </xf>
    <xf numFmtId="0" fontId="5" fillId="0" borderId="0" xfId="0" applyFont="1"/>
    <xf numFmtId="165" fontId="6" fillId="0" borderId="28" xfId="1" applyNumberFormat="1" applyFont="1" applyFill="1" applyBorder="1" applyAlignment="1">
      <alignment horizontal="center" vertical="center" wrapText="1"/>
    </xf>
    <xf numFmtId="4" fontId="6" fillId="0" borderId="37" xfId="1" applyNumberFormat="1" applyFont="1" applyFill="1" applyBorder="1" applyAlignment="1">
      <alignment vertical="center"/>
    </xf>
    <xf numFmtId="0" fontId="6" fillId="0" borderId="26" xfId="1" applyFont="1" applyFill="1" applyBorder="1" applyAlignment="1">
      <alignment horizontal="left" vertical="center"/>
    </xf>
    <xf numFmtId="49" fontId="15" fillId="0" borderId="26" xfId="4" applyNumberFormat="1" applyFont="1" applyFill="1" applyBorder="1" applyAlignment="1" applyProtection="1">
      <alignment horizontal="centerContinuous" vertical="center"/>
    </xf>
    <xf numFmtId="0" fontId="5" fillId="0" borderId="26" xfId="4" applyFont="1" applyFill="1" applyBorder="1" applyAlignment="1">
      <alignment horizontal="centerContinuous" vertical="center"/>
    </xf>
    <xf numFmtId="0" fontId="5" fillId="0" borderId="37" xfId="4" applyFont="1" applyFill="1" applyBorder="1" applyAlignment="1">
      <alignment horizontal="centerContinuous" vertical="center"/>
    </xf>
    <xf numFmtId="0" fontId="5" fillId="0" borderId="0" xfId="4" applyFont="1"/>
    <xf numFmtId="165" fontId="6" fillId="0" borderId="37" xfId="1" applyNumberFormat="1" applyFont="1" applyFill="1" applyBorder="1" applyAlignment="1">
      <alignment horizontal="center" vertical="center"/>
    </xf>
    <xf numFmtId="0" fontId="5" fillId="0" borderId="0" xfId="4" applyFont="1" applyFill="1"/>
    <xf numFmtId="0" fontId="12" fillId="0" borderId="3" xfId="4" applyFont="1" applyFill="1" applyBorder="1" applyAlignment="1">
      <alignment horizontal="left" vertical="center"/>
    </xf>
    <xf numFmtId="0" fontId="12" fillId="0" borderId="26" xfId="4" applyFont="1" applyFill="1" applyBorder="1" applyAlignment="1">
      <alignment horizontal="left" vertical="center"/>
    </xf>
    <xf numFmtId="10" fontId="6" fillId="0" borderId="37" xfId="5" applyNumberFormat="1" applyFont="1" applyFill="1" applyBorder="1" applyAlignment="1">
      <alignment vertical="center"/>
    </xf>
    <xf numFmtId="0" fontId="6" fillId="0" borderId="68" xfId="4" applyFont="1" applyFill="1" applyBorder="1" applyAlignment="1">
      <alignment horizontal="left" vertical="center"/>
    </xf>
    <xf numFmtId="0" fontId="5" fillId="0" borderId="69" xfId="4" applyFont="1" applyFill="1" applyBorder="1" applyAlignment="1">
      <alignment horizontal="left" vertical="center"/>
    </xf>
    <xf numFmtId="0" fontId="6" fillId="0" borderId="70" xfId="1" applyFont="1" applyFill="1" applyBorder="1" applyAlignment="1">
      <alignment horizontal="center" vertical="center" wrapText="1"/>
    </xf>
    <xf numFmtId="0" fontId="5" fillId="0" borderId="16" xfId="4" applyFont="1" applyFill="1" applyBorder="1" applyAlignment="1">
      <alignment horizontal="left" vertical="center"/>
    </xf>
    <xf numFmtId="0" fontId="5" fillId="0" borderId="11" xfId="4" applyFont="1" applyFill="1" applyBorder="1" applyAlignment="1">
      <alignment horizontal="left" vertical="center"/>
    </xf>
    <xf numFmtId="4" fontId="6" fillId="4" borderId="37" xfId="1" applyNumberFormat="1" applyFont="1" applyFill="1" applyBorder="1" applyAlignment="1">
      <alignment vertical="center"/>
    </xf>
    <xf numFmtId="0" fontId="3" fillId="2" borderId="8" xfId="0" applyFont="1" applyFill="1" applyBorder="1" applyAlignment="1">
      <alignment horizontal="left"/>
    </xf>
    <xf numFmtId="1" fontId="8" fillId="2" borderId="6" xfId="1" applyNumberFormat="1" applyFont="1" applyFill="1" applyBorder="1" applyAlignment="1">
      <alignment horizontal="center"/>
    </xf>
    <xf numFmtId="2" fontId="7" fillId="2" borderId="0" xfId="0" applyNumberFormat="1" applyFont="1" applyFill="1" applyAlignment="1">
      <alignment horizontal="center"/>
    </xf>
    <xf numFmtId="166" fontId="7" fillId="2" borderId="0" xfId="0" applyNumberFormat="1" applyFont="1" applyFill="1" applyAlignment="1">
      <alignment horizontal="center"/>
    </xf>
    <xf numFmtId="2" fontId="8" fillId="2" borderId="0" xfId="0" applyNumberFormat="1" applyFont="1" applyFill="1" applyAlignment="1">
      <alignment horizontal="center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23" fillId="0" borderId="0" xfId="6"/>
    <xf numFmtId="4" fontId="5" fillId="5" borderId="29" xfId="0" applyNumberFormat="1" applyFont="1" applyFill="1" applyBorder="1" applyAlignment="1" applyProtection="1">
      <alignment vertical="center"/>
      <protection locked="0"/>
    </xf>
    <xf numFmtId="0" fontId="5" fillId="0" borderId="0" xfId="13" applyProtection="1">
      <protection locked="0"/>
    </xf>
    <xf numFmtId="0" fontId="7" fillId="2" borderId="8" xfId="0" applyFont="1" applyFill="1" applyBorder="1" applyAlignment="1">
      <alignment horizontal="left"/>
    </xf>
    <xf numFmtId="0" fontId="7" fillId="2" borderId="9" xfId="0" applyFont="1" applyFill="1" applyBorder="1" applyAlignment="1">
      <alignment horizontal="left"/>
    </xf>
    <xf numFmtId="167" fontId="8" fillId="2" borderId="6" xfId="1" applyNumberFormat="1" applyFont="1" applyFill="1" applyBorder="1" applyAlignment="1">
      <alignment horizontal="center"/>
    </xf>
    <xf numFmtId="0" fontId="0" fillId="2" borderId="0" xfId="0" applyFill="1"/>
    <xf numFmtId="49" fontId="20" fillId="0" borderId="3" xfId="4" applyNumberFormat="1" applyFont="1" applyFill="1" applyBorder="1" applyAlignment="1" applyProtection="1">
      <alignment horizontal="centerContinuous" vertical="center"/>
    </xf>
    <xf numFmtId="0" fontId="6" fillId="4" borderId="71" xfId="1" applyFont="1" applyFill="1" applyBorder="1" applyAlignment="1">
      <alignment horizontal="center" vertical="center"/>
    </xf>
    <xf numFmtId="4" fontId="6" fillId="0" borderId="88" xfId="1" applyNumberFormat="1" applyFont="1" applyFill="1" applyBorder="1" applyAlignment="1">
      <alignment horizontal="center" vertical="center" wrapText="1"/>
    </xf>
    <xf numFmtId="4" fontId="6" fillId="7" borderId="89" xfId="3" applyNumberFormat="1" applyFont="1" applyFill="1" applyBorder="1" applyAlignment="1">
      <alignment horizontal="center" vertical="center"/>
    </xf>
    <xf numFmtId="0" fontId="36" fillId="0" borderId="90" xfId="13" applyFont="1" applyBorder="1" applyAlignment="1">
      <alignment horizontal="center"/>
    </xf>
    <xf numFmtId="1" fontId="36" fillId="0" borderId="91" xfId="13" applyNumberFormat="1" applyFont="1" applyBorder="1" applyAlignment="1">
      <alignment horizontal="center"/>
    </xf>
    <xf numFmtId="0" fontId="37" fillId="0" borderId="92" xfId="13" applyFont="1" applyBorder="1"/>
    <xf numFmtId="0" fontId="36" fillId="0" borderId="92" xfId="13" applyFont="1" applyBorder="1" applyAlignment="1">
      <alignment textRotation="180"/>
    </xf>
    <xf numFmtId="170" fontId="37" fillId="0" borderId="93" xfId="13" applyNumberFormat="1" applyFont="1" applyBorder="1" applyAlignment="1">
      <alignment horizontal="center"/>
    </xf>
    <xf numFmtId="1" fontId="38" fillId="0" borderId="94" xfId="13" applyNumberFormat="1" applyFont="1" applyBorder="1" applyAlignment="1">
      <alignment horizontal="center"/>
    </xf>
    <xf numFmtId="49" fontId="38" fillId="0" borderId="95" xfId="13" applyNumberFormat="1" applyFont="1" applyBorder="1" applyAlignment="1">
      <alignment horizontal="center"/>
    </xf>
    <xf numFmtId="49" fontId="38" fillId="0" borderId="45" xfId="13" applyNumberFormat="1" applyFont="1" applyBorder="1" applyAlignment="1">
      <alignment horizontal="left"/>
    </xf>
    <xf numFmtId="0" fontId="39" fillId="0" borderId="6" xfId="13" applyFont="1" applyBorder="1"/>
    <xf numFmtId="0" fontId="38" fillId="0" borderId="45" xfId="13" applyFont="1" applyBorder="1" applyAlignment="1">
      <alignment horizontal="center"/>
    </xf>
    <xf numFmtId="0" fontId="38" fillId="0" borderId="29" xfId="13" applyFont="1" applyBorder="1" applyAlignment="1">
      <alignment horizontal="center"/>
    </xf>
    <xf numFmtId="1" fontId="38" fillId="0" borderId="6" xfId="13" applyNumberFormat="1" applyFont="1" applyBorder="1" applyAlignment="1">
      <alignment horizontal="center"/>
    </xf>
    <xf numFmtId="49" fontId="38" fillId="0" borderId="45" xfId="13" applyNumberFormat="1" applyFont="1" applyBorder="1" applyAlignment="1">
      <alignment horizontal="center"/>
    </xf>
    <xf numFmtId="0" fontId="38" fillId="0" borderId="6" xfId="13" applyFont="1" applyBorder="1" applyAlignment="1">
      <alignment horizontal="center"/>
    </xf>
    <xf numFmtId="0" fontId="38" fillId="0" borderId="43" xfId="13" applyFont="1" applyBorder="1" applyAlignment="1">
      <alignment horizontal="center"/>
    </xf>
    <xf numFmtId="0" fontId="36" fillId="0" borderId="96" xfId="13" applyFont="1" applyBorder="1" applyAlignment="1">
      <alignment horizontal="center"/>
    </xf>
    <xf numFmtId="1" fontId="36" fillId="0" borderId="97" xfId="13" applyNumberFormat="1" applyFont="1" applyBorder="1" applyAlignment="1">
      <alignment horizontal="center"/>
    </xf>
    <xf numFmtId="0" fontId="37" fillId="0" borderId="98" xfId="13" applyFont="1" applyBorder="1"/>
    <xf numFmtId="0" fontId="36" fillId="0" borderId="98" xfId="13" applyFont="1" applyBorder="1" applyAlignment="1">
      <alignment textRotation="180"/>
    </xf>
    <xf numFmtId="1" fontId="38" fillId="0" borderId="99" xfId="13" applyNumberFormat="1" applyFont="1" applyBorder="1" applyAlignment="1">
      <alignment horizontal="center"/>
    </xf>
    <xf numFmtId="1" fontId="38" fillId="0" borderId="35" xfId="13" applyNumberFormat="1" applyFont="1" applyBorder="1" applyAlignment="1">
      <alignment horizontal="center"/>
    </xf>
    <xf numFmtId="0" fontId="35" fillId="12" borderId="12" xfId="17" applyFont="1" applyFill="1" applyBorder="1" applyAlignment="1">
      <alignment horizontal="right"/>
    </xf>
    <xf numFmtId="0" fontId="35" fillId="12" borderId="10" xfId="17" applyFont="1" applyFill="1" applyBorder="1"/>
    <xf numFmtId="0" fontId="2" fillId="12" borderId="13" xfId="17" applyFill="1" applyBorder="1"/>
    <xf numFmtId="0" fontId="2" fillId="0" borderId="0" xfId="17"/>
    <xf numFmtId="0" fontId="2" fillId="12" borderId="14" xfId="17" applyFill="1" applyBorder="1"/>
    <xf numFmtId="0" fontId="35" fillId="12" borderId="0" xfId="17" applyFont="1" applyFill="1"/>
    <xf numFmtId="0" fontId="2" fillId="12" borderId="0" xfId="17" applyFill="1"/>
    <xf numFmtId="0" fontId="2" fillId="12" borderId="15" xfId="17" applyFill="1" applyBorder="1"/>
    <xf numFmtId="0" fontId="41" fillId="12" borderId="39" xfId="17" applyFont="1" applyFill="1" applyBorder="1" applyAlignment="1">
      <alignment horizontal="center"/>
    </xf>
    <xf numFmtId="0" fontId="41" fillId="12" borderId="7" xfId="17" applyFont="1" applyFill="1" applyBorder="1" applyAlignment="1">
      <alignment horizontal="centerContinuous"/>
    </xf>
    <xf numFmtId="0" fontId="41" fillId="12" borderId="43" xfId="17" applyFont="1" applyFill="1" applyBorder="1" applyAlignment="1">
      <alignment horizontal="centerContinuous"/>
    </xf>
    <xf numFmtId="0" fontId="41" fillId="12" borderId="29" xfId="17" applyFont="1" applyFill="1" applyBorder="1" applyAlignment="1">
      <alignment horizontal="center"/>
    </xf>
    <xf numFmtId="0" fontId="41" fillId="12" borderId="6" xfId="17" applyFont="1" applyFill="1" applyBorder="1" applyAlignment="1">
      <alignment horizontal="center"/>
    </xf>
    <xf numFmtId="0" fontId="35" fillId="12" borderId="0" xfId="17" applyFont="1" applyFill="1" applyAlignment="1">
      <alignment horizontal="right"/>
    </xf>
    <xf numFmtId="0" fontId="35" fillId="12" borderId="0" xfId="17" applyFont="1" applyFill="1" applyAlignment="1">
      <alignment horizontal="left"/>
    </xf>
    <xf numFmtId="0" fontId="41" fillId="12" borderId="0" xfId="17" applyFont="1" applyFill="1"/>
    <xf numFmtId="0" fontId="35" fillId="12" borderId="14" xfId="17" applyFont="1" applyFill="1" applyBorder="1" applyAlignment="1">
      <alignment horizontal="right"/>
    </xf>
    <xf numFmtId="0" fontId="2" fillId="12" borderId="16" xfId="17" applyFill="1" applyBorder="1"/>
    <xf numFmtId="0" fontId="41" fillId="12" borderId="23" xfId="17" applyFont="1" applyFill="1" applyBorder="1" applyAlignment="1">
      <alignment horizontal="center"/>
    </xf>
    <xf numFmtId="0" fontId="2" fillId="12" borderId="11" xfId="17" applyFill="1" applyBorder="1"/>
    <xf numFmtId="0" fontId="2" fillId="12" borderId="17" xfId="17" applyFill="1" applyBorder="1"/>
    <xf numFmtId="0" fontId="5" fillId="0" borderId="0" xfId="13"/>
    <xf numFmtId="0" fontId="24" fillId="3" borderId="20" xfId="13" applyFont="1" applyFill="1" applyBorder="1" applyAlignment="1">
      <alignment horizontal="center" wrapText="1"/>
    </xf>
    <xf numFmtId="0" fontId="24" fillId="3" borderId="19" xfId="13" applyFont="1" applyFill="1" applyBorder="1" applyAlignment="1">
      <alignment horizontal="centerContinuous"/>
    </xf>
    <xf numFmtId="0" fontId="34" fillId="3" borderId="10" xfId="13" applyFont="1" applyFill="1" applyBorder="1" applyAlignment="1">
      <alignment vertical="center"/>
    </xf>
    <xf numFmtId="0" fontId="6" fillId="3" borderId="100" xfId="13" applyFont="1" applyFill="1" applyBorder="1" applyAlignment="1">
      <alignment horizontal="left"/>
    </xf>
    <xf numFmtId="2" fontId="6" fillId="13" borderId="101" xfId="13" applyNumberFormat="1" applyFont="1" applyFill="1" applyBorder="1" applyAlignment="1" applyProtection="1">
      <alignment horizontal="left"/>
      <protection locked="0"/>
    </xf>
    <xf numFmtId="0" fontId="6" fillId="13" borderId="61" xfId="13" applyFont="1" applyFill="1" applyBorder="1" applyAlignment="1" applyProtection="1">
      <alignment horizontal="left"/>
      <protection locked="0"/>
    </xf>
    <xf numFmtId="0" fontId="6" fillId="0" borderId="102" xfId="13" applyFont="1" applyBorder="1" applyAlignment="1">
      <alignment horizontal="left"/>
    </xf>
    <xf numFmtId="1" fontId="6" fillId="13" borderId="43" xfId="13" applyNumberFormat="1" applyFont="1" applyFill="1" applyBorder="1" applyAlignment="1" applyProtection="1">
      <alignment horizontal="center"/>
      <protection locked="0"/>
    </xf>
    <xf numFmtId="0" fontId="3" fillId="0" borderId="102" xfId="13" applyFont="1" applyBorder="1" applyAlignment="1">
      <alignment horizontal="centerContinuous"/>
    </xf>
    <xf numFmtId="49" fontId="3" fillId="0" borderId="43" xfId="13" applyNumberFormat="1" applyFont="1" applyBorder="1" applyAlignment="1">
      <alignment horizontal="centerContinuous"/>
    </xf>
    <xf numFmtId="49" fontId="3" fillId="0" borderId="103" xfId="13" applyNumberFormat="1" applyFont="1" applyBorder="1" applyAlignment="1">
      <alignment horizontal="centerContinuous"/>
    </xf>
    <xf numFmtId="0" fontId="3" fillId="0" borderId="102" xfId="13" applyFont="1" applyBorder="1" applyAlignment="1">
      <alignment horizontal="left"/>
    </xf>
    <xf numFmtId="0" fontId="3" fillId="3" borderId="7" xfId="13" applyFont="1" applyFill="1" applyBorder="1" applyAlignment="1">
      <alignment horizontal="centerContinuous"/>
    </xf>
    <xf numFmtId="0" fontId="3" fillId="3" borderId="61" xfId="13" applyFont="1" applyFill="1" applyBorder="1" applyAlignment="1">
      <alignment horizontal="centerContinuous"/>
    </xf>
    <xf numFmtId="4" fontId="3" fillId="13" borderId="104" xfId="13" applyNumberFormat="1" applyFont="1" applyFill="1" applyBorder="1" applyAlignment="1" applyProtection="1">
      <alignment horizontal="center"/>
      <protection locked="0"/>
    </xf>
    <xf numFmtId="10" fontId="3" fillId="0" borderId="105" xfId="16" applyNumberFormat="1" applyFont="1" applyFill="1" applyBorder="1" applyAlignment="1" applyProtection="1">
      <alignment horizontal="center"/>
    </xf>
    <xf numFmtId="0" fontId="6" fillId="3" borderId="106" xfId="13" applyFont="1" applyFill="1" applyBorder="1" applyAlignment="1">
      <alignment horizontal="left"/>
    </xf>
    <xf numFmtId="49" fontId="6" fillId="13" borderId="107" xfId="13" applyNumberFormat="1" applyFont="1" applyFill="1" applyBorder="1" applyProtection="1">
      <protection locked="0"/>
    </xf>
    <xf numFmtId="0" fontId="6" fillId="13" borderId="11" xfId="13" applyFont="1" applyFill="1" applyBorder="1" applyProtection="1">
      <protection locked="0"/>
    </xf>
    <xf numFmtId="0" fontId="6" fillId="13" borderId="11" xfId="13" applyFont="1" applyFill="1" applyBorder="1" applyAlignment="1" applyProtection="1">
      <alignment horizontal="left"/>
      <protection locked="0"/>
    </xf>
    <xf numFmtId="0" fontId="6" fillId="0" borderId="108" xfId="13" applyFont="1" applyBorder="1" applyAlignment="1">
      <alignment horizontal="left"/>
    </xf>
    <xf numFmtId="1" fontId="6" fillId="13" borderId="86" xfId="13" applyNumberFormat="1" applyFont="1" applyFill="1" applyBorder="1" applyAlignment="1" applyProtection="1">
      <alignment horizontal="center"/>
      <protection locked="0"/>
    </xf>
    <xf numFmtId="0" fontId="3" fillId="0" borderId="108" xfId="13" applyFont="1" applyBorder="1" applyAlignment="1">
      <alignment horizontal="center"/>
    </xf>
    <xf numFmtId="14" fontId="3" fillId="0" borderId="86" xfId="13" applyNumberFormat="1" applyFont="1" applyBorder="1" applyAlignment="1" applyProtection="1">
      <alignment horizontal="center"/>
      <protection locked="0"/>
    </xf>
    <xf numFmtId="1" fontId="3" fillId="13" borderId="86" xfId="13" applyNumberFormat="1" applyFont="1" applyFill="1" applyBorder="1" applyAlignment="1" applyProtection="1">
      <alignment horizontal="center"/>
      <protection locked="0"/>
    </xf>
    <xf numFmtId="14" fontId="3" fillId="0" borderId="109" xfId="13" applyNumberFormat="1" applyFont="1" applyBorder="1" applyAlignment="1">
      <alignment horizontal="center"/>
    </xf>
    <xf numFmtId="1" fontId="3" fillId="0" borderId="86" xfId="13" applyNumberFormat="1" applyFont="1" applyBorder="1" applyAlignment="1">
      <alignment horizontal="center"/>
    </xf>
    <xf numFmtId="0" fontId="3" fillId="3" borderId="110" xfId="13" applyFont="1" applyFill="1" applyBorder="1" applyAlignment="1">
      <alignment horizontal="centerContinuous"/>
    </xf>
    <xf numFmtId="0" fontId="3" fillId="3" borderId="72" xfId="13" applyFont="1" applyFill="1" applyBorder="1" applyAlignment="1">
      <alignment horizontal="centerContinuous"/>
    </xf>
    <xf numFmtId="0" fontId="3" fillId="3" borderId="11" xfId="13" applyFont="1" applyFill="1" applyBorder="1" applyAlignment="1">
      <alignment horizontal="centerContinuous"/>
    </xf>
    <xf numFmtId="4" fontId="3" fillId="13" borderId="111" xfId="13" applyNumberFormat="1" applyFont="1" applyFill="1" applyBorder="1" applyAlignment="1" applyProtection="1">
      <alignment horizontal="center"/>
      <protection locked="0"/>
    </xf>
    <xf numFmtId="10" fontId="3" fillId="0" borderId="112" xfId="16" applyNumberFormat="1" applyFont="1" applyFill="1" applyBorder="1" applyAlignment="1" applyProtection="1">
      <alignment horizontal="center"/>
    </xf>
    <xf numFmtId="0" fontId="6" fillId="3" borderId="113" xfId="13" applyFont="1" applyFill="1" applyBorder="1" applyAlignment="1">
      <alignment horizontal="left"/>
    </xf>
    <xf numFmtId="171" fontId="6" fillId="12" borderId="114" xfId="13" applyNumberFormat="1" applyFont="1" applyFill="1" applyBorder="1" applyAlignment="1">
      <alignment horizontal="left" indent="1"/>
    </xf>
    <xf numFmtId="0" fontId="28" fillId="3" borderId="115" xfId="13" applyFont="1" applyFill="1" applyBorder="1" applyAlignment="1">
      <alignment horizontal="center"/>
    </xf>
    <xf numFmtId="0" fontId="27" fillId="3" borderId="81" xfId="13" applyFont="1" applyFill="1" applyBorder="1" applyAlignment="1">
      <alignment horizontal="centerContinuous"/>
    </xf>
    <xf numFmtId="0" fontId="28" fillId="3" borderId="10" xfId="13" applyFont="1" applyFill="1" applyBorder="1" applyAlignment="1">
      <alignment horizontal="centerContinuous"/>
    </xf>
    <xf numFmtId="0" fontId="3" fillId="3" borderId="115" xfId="13" applyFont="1" applyFill="1" applyBorder="1" applyAlignment="1">
      <alignment horizontal="centerContinuous"/>
    </xf>
    <xf numFmtId="0" fontId="3" fillId="3" borderId="19" xfId="13" applyFont="1" applyFill="1" applyBorder="1" applyAlignment="1">
      <alignment horizontal="centerContinuous"/>
    </xf>
    <xf numFmtId="40" fontId="42" fillId="3" borderId="116" xfId="13" applyNumberFormat="1" applyFont="1" applyFill="1" applyBorder="1"/>
    <xf numFmtId="10" fontId="4" fillId="0" borderId="117" xfId="16" applyNumberFormat="1" applyFont="1" applyFill="1" applyBorder="1" applyProtection="1"/>
    <xf numFmtId="0" fontId="6" fillId="2" borderId="27" xfId="13" applyFont="1" applyFill="1" applyBorder="1" applyAlignment="1" applyProtection="1">
      <alignment horizontal="center"/>
      <protection locked="0"/>
    </xf>
    <xf numFmtId="1" fontId="6" fillId="14" borderId="93" xfId="13" applyNumberFormat="1" applyFont="1" applyFill="1" applyBorder="1" applyAlignment="1" applyProtection="1">
      <alignment horizontal="center"/>
      <protection locked="0"/>
    </xf>
    <xf numFmtId="0" fontId="4" fillId="0" borderId="0" xfId="13" applyFont="1"/>
    <xf numFmtId="0" fontId="4" fillId="3" borderId="130" xfId="13" applyFont="1" applyFill="1" applyBorder="1"/>
    <xf numFmtId="40" fontId="4" fillId="3" borderId="130" xfId="13" applyNumberFormat="1" applyFont="1" applyFill="1" applyBorder="1"/>
    <xf numFmtId="0" fontId="4" fillId="3" borderId="131" xfId="13" applyFont="1" applyFill="1" applyBorder="1"/>
    <xf numFmtId="0" fontId="6" fillId="3" borderId="133" xfId="13" applyFont="1" applyFill="1" applyBorder="1" applyAlignment="1">
      <alignment horizontal="centerContinuous"/>
    </xf>
    <xf numFmtId="0" fontId="4" fillId="3" borderId="133" xfId="13" applyFont="1" applyFill="1" applyBorder="1"/>
    <xf numFmtId="40" fontId="42" fillId="3" borderId="134" xfId="13" applyNumberFormat="1" applyFont="1" applyFill="1" applyBorder="1"/>
    <xf numFmtId="0" fontId="42" fillId="3" borderId="135" xfId="13" applyFont="1" applyFill="1" applyBorder="1"/>
    <xf numFmtId="0" fontId="27" fillId="3" borderId="76" xfId="13" applyFont="1" applyFill="1" applyBorder="1" applyAlignment="1">
      <alignment horizontal="centerContinuous"/>
    </xf>
    <xf numFmtId="0" fontId="28" fillId="3" borderId="67" xfId="13" applyFont="1" applyFill="1" applyBorder="1" applyAlignment="1">
      <alignment horizontal="centerContinuous"/>
    </xf>
    <xf numFmtId="0" fontId="4" fillId="3" borderId="67" xfId="13" applyFont="1" applyFill="1" applyBorder="1" applyAlignment="1">
      <alignment horizontal="centerContinuous"/>
    </xf>
    <xf numFmtId="0" fontId="4" fillId="3" borderId="51" xfId="13" applyFont="1" applyFill="1" applyBorder="1" applyAlignment="1">
      <alignment horizontal="centerContinuous"/>
    </xf>
    <xf numFmtId="0" fontId="4" fillId="3" borderId="122" xfId="13" applyFont="1" applyFill="1" applyBorder="1" applyAlignment="1">
      <alignment horizontal="centerContinuous"/>
    </xf>
    <xf numFmtId="0" fontId="4" fillId="3" borderId="136" xfId="13" applyFont="1" applyFill="1" applyBorder="1" applyAlignment="1">
      <alignment horizontal="centerContinuous"/>
    </xf>
    <xf numFmtId="0" fontId="4" fillId="3" borderId="120" xfId="13" applyFont="1" applyFill="1" applyBorder="1" applyAlignment="1">
      <alignment horizontal="center"/>
    </xf>
    <xf numFmtId="0" fontId="4" fillId="3" borderId="121" xfId="13" applyFont="1" applyFill="1" applyBorder="1" applyAlignment="1">
      <alignment horizontal="center"/>
    </xf>
    <xf numFmtId="0" fontId="4" fillId="3" borderId="138" xfId="13" applyFont="1" applyFill="1" applyBorder="1" applyAlignment="1">
      <alignment horizontal="center"/>
    </xf>
    <xf numFmtId="0" fontId="4" fillId="3" borderId="139" xfId="13" applyFont="1" applyFill="1" applyBorder="1" applyAlignment="1">
      <alignment horizontal="center"/>
    </xf>
    <xf numFmtId="0" fontId="4" fillId="3" borderId="128" xfId="13" applyFont="1" applyFill="1" applyBorder="1" applyAlignment="1">
      <alignment horizontal="center"/>
    </xf>
    <xf numFmtId="0" fontId="4" fillId="3" borderId="46" xfId="13" applyFont="1" applyFill="1" applyBorder="1" applyAlignment="1">
      <alignment horizontal="center"/>
    </xf>
    <xf numFmtId="0" fontId="4" fillId="3" borderId="30" xfId="13" applyFont="1" applyFill="1" applyBorder="1" applyAlignment="1">
      <alignment horizontal="center"/>
    </xf>
    <xf numFmtId="49" fontId="4" fillId="3" borderId="39" xfId="13" applyNumberFormat="1" applyFont="1" applyFill="1" applyBorder="1"/>
    <xf numFmtId="0" fontId="4" fillId="3" borderId="43" xfId="13" applyFont="1" applyFill="1" applyBorder="1"/>
    <xf numFmtId="0" fontId="4" fillId="3" borderId="6" xfId="13" applyFont="1" applyFill="1" applyBorder="1"/>
    <xf numFmtId="40" fontId="4" fillId="3" borderId="6" xfId="13" applyNumberFormat="1" applyFont="1" applyFill="1" applyBorder="1"/>
    <xf numFmtId="40" fontId="4" fillId="3" borderId="140" xfId="13" applyNumberFormat="1" applyFont="1" applyFill="1" applyBorder="1" applyProtection="1">
      <protection locked="0"/>
    </xf>
    <xf numFmtId="172" fontId="4" fillId="3" borderId="67" xfId="13" applyNumberFormat="1" applyFont="1" applyFill="1" applyBorder="1" applyAlignment="1">
      <alignment horizontal="center"/>
    </xf>
    <xf numFmtId="40" fontId="4" fillId="3" borderId="104" xfId="13" applyNumberFormat="1" applyFont="1" applyFill="1" applyBorder="1"/>
    <xf numFmtId="10" fontId="4" fillId="3" borderId="32" xfId="16" applyNumberFormat="1" applyFont="1" applyFill="1" applyBorder="1" applyProtection="1"/>
    <xf numFmtId="0" fontId="4" fillId="3" borderId="29" xfId="13" applyFont="1" applyFill="1" applyBorder="1"/>
    <xf numFmtId="172" fontId="4" fillId="3" borderId="61" xfId="13" applyNumberFormat="1" applyFont="1" applyFill="1" applyBorder="1" applyAlignment="1">
      <alignment horizontal="center"/>
    </xf>
    <xf numFmtId="1" fontId="4" fillId="3" borderId="39" xfId="13" applyNumberFormat="1" applyFont="1" applyFill="1" applyBorder="1"/>
    <xf numFmtId="1" fontId="4" fillId="3" borderId="29" xfId="13" applyNumberFormat="1" applyFont="1" applyFill="1" applyBorder="1"/>
    <xf numFmtId="0" fontId="4" fillId="3" borderId="65" xfId="13" applyFont="1" applyFill="1" applyBorder="1" applyAlignment="1">
      <alignment horizontal="center"/>
    </xf>
    <xf numFmtId="0" fontId="4" fillId="3" borderId="61" xfId="13" applyFont="1" applyFill="1" applyBorder="1"/>
    <xf numFmtId="40" fontId="4" fillId="3" borderId="61" xfId="13" applyNumberFormat="1" applyFont="1" applyFill="1" applyBorder="1"/>
    <xf numFmtId="40" fontId="4" fillId="3" borderId="61" xfId="13" applyNumberFormat="1" applyFont="1" applyFill="1" applyBorder="1" applyProtection="1">
      <protection locked="0"/>
    </xf>
    <xf numFmtId="9" fontId="4" fillId="3" borderId="53" xfId="16" applyFont="1" applyFill="1" applyBorder="1" applyProtection="1"/>
    <xf numFmtId="40" fontId="4" fillId="3" borderId="29" xfId="13" applyNumberFormat="1" applyFont="1" applyFill="1" applyBorder="1"/>
    <xf numFmtId="40" fontId="4" fillId="3" borderId="141" xfId="13" applyNumberFormat="1" applyFont="1" applyFill="1" applyBorder="1" applyProtection="1">
      <protection locked="0"/>
    </xf>
    <xf numFmtId="40" fontId="4" fillId="3" borderId="142" xfId="13" applyNumberFormat="1" applyFont="1" applyFill="1" applyBorder="1"/>
    <xf numFmtId="40" fontId="4" fillId="3" borderId="128" xfId="13" applyNumberFormat="1" applyFont="1" applyFill="1" applyBorder="1"/>
    <xf numFmtId="10" fontId="4" fillId="3" borderId="46" xfId="16" applyNumberFormat="1" applyFont="1" applyFill="1" applyBorder="1" applyProtection="1"/>
    <xf numFmtId="0" fontId="4" fillId="3" borderId="1" xfId="13" applyFont="1" applyFill="1" applyBorder="1"/>
    <xf numFmtId="40" fontId="4" fillId="3" borderId="67" xfId="13" applyNumberFormat="1" applyFont="1" applyFill="1" applyBorder="1"/>
    <xf numFmtId="0" fontId="4" fillId="3" borderId="65" xfId="13" applyFont="1" applyFill="1" applyBorder="1"/>
    <xf numFmtId="40" fontId="4" fillId="3" borderId="9" xfId="13" applyNumberFormat="1" applyFont="1" applyFill="1" applyBorder="1"/>
    <xf numFmtId="9" fontId="4" fillId="3" borderId="54" xfId="16" applyFont="1" applyFill="1" applyBorder="1" applyProtection="1"/>
    <xf numFmtId="0" fontId="6" fillId="3" borderId="90" xfId="13" applyFont="1" applyFill="1" applyBorder="1" applyAlignment="1">
      <alignment horizontal="centerContinuous"/>
    </xf>
    <xf numFmtId="40" fontId="42" fillId="3" borderId="143" xfId="13" applyNumberFormat="1" applyFont="1" applyFill="1" applyBorder="1"/>
    <xf numFmtId="40" fontId="42" fillId="3" borderId="1" xfId="13" applyNumberFormat="1" applyFont="1" applyFill="1" applyBorder="1"/>
    <xf numFmtId="40" fontId="42" fillId="3" borderId="144" xfId="13" applyNumberFormat="1" applyFont="1" applyFill="1" applyBorder="1" applyProtection="1">
      <protection locked="0"/>
    </xf>
    <xf numFmtId="40" fontId="42" fillId="3" borderId="0" xfId="13" applyNumberFormat="1" applyFont="1" applyFill="1"/>
    <xf numFmtId="40" fontId="42" fillId="3" borderId="145" xfId="13" applyNumberFormat="1" applyFont="1" applyFill="1" applyBorder="1"/>
    <xf numFmtId="10" fontId="42" fillId="3" borderId="146" xfId="16" applyNumberFormat="1" applyFont="1" applyFill="1" applyBorder="1" applyProtection="1"/>
    <xf numFmtId="0" fontId="6" fillId="3" borderId="147" xfId="13" applyFont="1" applyFill="1" applyBorder="1" applyAlignment="1">
      <alignment horizontal="centerContinuous"/>
    </xf>
    <xf numFmtId="10" fontId="42" fillId="3" borderId="148" xfId="16" applyNumberFormat="1" applyFont="1" applyFill="1" applyBorder="1" applyProtection="1"/>
    <xf numFmtId="10" fontId="42" fillId="3" borderId="149" xfId="16" applyNumberFormat="1" applyFont="1" applyFill="1" applyBorder="1" applyProtection="1">
      <protection locked="0"/>
    </xf>
    <xf numFmtId="10" fontId="42" fillId="3" borderId="150" xfId="16" applyNumberFormat="1" applyFont="1" applyFill="1" applyBorder="1" applyProtection="1"/>
    <xf numFmtId="10" fontId="42" fillId="3" borderId="151" xfId="16" applyNumberFormat="1" applyFont="1" applyFill="1" applyBorder="1" applyProtection="1"/>
    <xf numFmtId="0" fontId="6" fillId="3" borderId="99" xfId="13" applyFont="1" applyFill="1" applyBorder="1" applyAlignment="1">
      <alignment horizontal="centerContinuous"/>
    </xf>
    <xf numFmtId="10" fontId="42" fillId="3" borderId="137" xfId="16" applyNumberFormat="1" applyFont="1" applyFill="1" applyBorder="1" applyProtection="1"/>
    <xf numFmtId="10" fontId="42" fillId="3" borderId="152" xfId="16" applyNumberFormat="1" applyFont="1" applyFill="1" applyBorder="1" applyProtection="1">
      <protection locked="0"/>
    </xf>
    <xf numFmtId="10" fontId="42" fillId="3" borderId="0" xfId="16" applyNumberFormat="1" applyFont="1" applyFill="1" applyBorder="1" applyProtection="1"/>
    <xf numFmtId="40" fontId="43" fillId="13" borderId="153" xfId="13" applyNumberFormat="1" applyFont="1" applyFill="1" applyBorder="1" applyAlignment="1">
      <alignment horizontal="center"/>
    </xf>
    <xf numFmtId="10" fontId="43" fillId="13" borderId="154" xfId="16" applyNumberFormat="1" applyFont="1" applyFill="1" applyBorder="1" applyAlignment="1" applyProtection="1">
      <alignment horizontal="center"/>
    </xf>
    <xf numFmtId="0" fontId="6" fillId="13" borderId="12" xfId="13" applyFont="1" applyFill="1" applyBorder="1" applyAlignment="1" applyProtection="1">
      <alignment horizontal="left" vertical="top"/>
      <protection locked="0"/>
    </xf>
    <xf numFmtId="0" fontId="6" fillId="13" borderId="10" xfId="13" applyFont="1" applyFill="1" applyBorder="1" applyProtection="1">
      <protection locked="0"/>
    </xf>
    <xf numFmtId="0" fontId="6" fillId="13" borderId="155" xfId="13" applyFont="1" applyFill="1" applyBorder="1" applyProtection="1">
      <protection locked="0"/>
    </xf>
    <xf numFmtId="0" fontId="6" fillId="13" borderId="10" xfId="13" applyFont="1" applyFill="1" applyBorder="1" applyAlignment="1" applyProtection="1">
      <alignment horizontal="left" vertical="top"/>
      <protection locked="0"/>
    </xf>
    <xf numFmtId="0" fontId="6" fillId="13" borderId="10" xfId="13" applyFont="1" applyFill="1" applyBorder="1" applyAlignment="1" applyProtection="1">
      <alignment horizontal="centerContinuous" vertical="center"/>
      <protection locked="0"/>
    </xf>
    <xf numFmtId="0" fontId="6" fillId="13" borderId="13" xfId="13" applyFont="1" applyFill="1" applyBorder="1" applyAlignment="1" applyProtection="1">
      <alignment horizontal="centerContinuous" vertical="center"/>
      <protection locked="0"/>
    </xf>
    <xf numFmtId="0" fontId="6" fillId="3" borderId="12" xfId="13" applyFont="1" applyFill="1" applyBorder="1" applyAlignment="1">
      <alignment horizontal="left" vertical="top"/>
    </xf>
    <xf numFmtId="0" fontId="6" fillId="3" borderId="10" xfId="13" applyFont="1" applyFill="1" applyBorder="1"/>
    <xf numFmtId="0" fontId="6" fillId="0" borderId="155" xfId="13" applyFont="1" applyBorder="1"/>
    <xf numFmtId="0" fontId="6" fillId="3" borderId="10" xfId="13" applyFont="1" applyFill="1" applyBorder="1" applyAlignment="1">
      <alignment horizontal="left"/>
    </xf>
    <xf numFmtId="0" fontId="6" fillId="3" borderId="10" xfId="13" applyFont="1" applyFill="1" applyBorder="1" applyAlignment="1">
      <alignment horizontal="centerContinuous" vertical="center"/>
    </xf>
    <xf numFmtId="0" fontId="6" fillId="3" borderId="13" xfId="13" applyFont="1" applyFill="1" applyBorder="1"/>
    <xf numFmtId="14" fontId="6" fillId="13" borderId="11" xfId="13" applyNumberFormat="1" applyFont="1" applyFill="1" applyBorder="1" applyAlignment="1" applyProtection="1">
      <alignment horizontal="center" vertical="center"/>
      <protection locked="0"/>
    </xf>
    <xf numFmtId="1" fontId="3" fillId="13" borderId="86" xfId="13" applyNumberFormat="1" applyFont="1" applyFill="1" applyBorder="1" applyAlignment="1">
      <alignment horizontal="center"/>
    </xf>
    <xf numFmtId="0" fontId="5" fillId="0" borderId="0" xfId="4" applyFont="1" applyAlignment="1">
      <alignment vertical="center"/>
    </xf>
    <xf numFmtId="49" fontId="6" fillId="3" borderId="49" xfId="4" applyNumberFormat="1" applyFont="1" applyFill="1" applyBorder="1" applyAlignment="1" applyProtection="1">
      <alignment horizontal="left" vertical="center"/>
    </xf>
    <xf numFmtId="49" fontId="6" fillId="5" borderId="57" xfId="4" applyNumberFormat="1" applyFont="1" applyFill="1" applyBorder="1" applyAlignment="1" applyProtection="1">
      <alignment horizontal="left" vertical="center"/>
      <protection locked="0"/>
    </xf>
    <xf numFmtId="49" fontId="6" fillId="5" borderId="19" xfId="4" applyNumberFormat="1" applyFont="1" applyFill="1" applyBorder="1" applyAlignment="1" applyProtection="1">
      <alignment horizontal="left" vertical="center"/>
      <protection locked="0"/>
    </xf>
    <xf numFmtId="49" fontId="6" fillId="5" borderId="67" xfId="4" applyNumberFormat="1" applyFont="1" applyFill="1" applyBorder="1" applyAlignment="1" applyProtection="1">
      <alignment horizontal="left" vertical="center"/>
      <protection locked="0"/>
    </xf>
    <xf numFmtId="0" fontId="6" fillId="0" borderId="31" xfId="4" applyFont="1" applyFill="1" applyBorder="1" applyAlignment="1" applyProtection="1">
      <alignment horizontal="left" vertical="center"/>
    </xf>
    <xf numFmtId="49" fontId="6" fillId="5" borderId="52" xfId="4" applyNumberFormat="1" applyFont="1" applyFill="1" applyBorder="1" applyAlignment="1" applyProtection="1">
      <alignment horizontal="center" vertical="center"/>
      <protection locked="0"/>
    </xf>
    <xf numFmtId="49" fontId="6" fillId="3" borderId="55" xfId="4" applyNumberFormat="1" applyFont="1" applyFill="1" applyBorder="1" applyAlignment="1" applyProtection="1">
      <alignment horizontal="left" vertical="center"/>
    </xf>
    <xf numFmtId="49" fontId="6" fillId="5" borderId="58" xfId="4" applyNumberFormat="1" applyFont="1" applyFill="1" applyBorder="1" applyAlignment="1" applyProtection="1">
      <alignment horizontal="left" vertical="center"/>
      <protection locked="0"/>
    </xf>
    <xf numFmtId="49" fontId="6" fillId="5" borderId="11" xfId="4" applyNumberFormat="1" applyFont="1" applyFill="1" applyBorder="1" applyAlignment="1" applyProtection="1">
      <alignment horizontal="left" vertical="center"/>
      <protection locked="0"/>
    </xf>
    <xf numFmtId="0" fontId="6" fillId="0" borderId="24" xfId="4" applyFont="1" applyFill="1" applyBorder="1" applyAlignment="1" applyProtection="1">
      <alignment horizontal="left" vertical="center"/>
    </xf>
    <xf numFmtId="49" fontId="6" fillId="5" borderId="24" xfId="4" applyNumberFormat="1" applyFont="1" applyFill="1" applyBorder="1" applyAlignment="1" applyProtection="1">
      <alignment horizontal="center" vertical="center"/>
      <protection locked="0"/>
    </xf>
    <xf numFmtId="0" fontId="5" fillId="0" borderId="3" xfId="4" applyFont="1" applyFill="1" applyBorder="1" applyAlignment="1">
      <alignment horizontal="left" vertical="center"/>
    </xf>
    <xf numFmtId="0" fontId="5" fillId="0" borderId="26" xfId="4" applyFont="1" applyFill="1" applyBorder="1" applyAlignment="1">
      <alignment horizontal="left" vertical="center"/>
    </xf>
    <xf numFmtId="0" fontId="5" fillId="0" borderId="26" xfId="1" applyFont="1" applyFill="1" applyBorder="1" applyAlignment="1">
      <alignment vertical="center"/>
    </xf>
    <xf numFmtId="0" fontId="6" fillId="0" borderId="37" xfId="4" applyFont="1" applyFill="1" applyBorder="1" applyAlignment="1">
      <alignment horizontal="center" vertical="center" wrapText="1"/>
    </xf>
    <xf numFmtId="49" fontId="6" fillId="0" borderId="47" xfId="4" applyNumberFormat="1" applyFont="1" applyFill="1" applyBorder="1" applyAlignment="1" applyProtection="1">
      <alignment horizontal="center" vertical="center"/>
    </xf>
    <xf numFmtId="0" fontId="11" fillId="0" borderId="10" xfId="4" applyFont="1" applyFill="1" applyBorder="1" applyAlignment="1" applyProtection="1">
      <alignment vertical="center"/>
    </xf>
    <xf numFmtId="0" fontId="5" fillId="0" borderId="10" xfId="4" applyFont="1" applyFill="1" applyBorder="1" applyAlignment="1">
      <alignment vertical="center"/>
    </xf>
    <xf numFmtId="4" fontId="6" fillId="0" borderId="13" xfId="1" applyNumberFormat="1" applyFont="1" applyFill="1" applyBorder="1" applyAlignment="1" applyProtection="1">
      <alignment vertical="center"/>
    </xf>
    <xf numFmtId="4" fontId="6" fillId="4" borderId="37" xfId="1" applyNumberFormat="1" applyFont="1" applyFill="1" applyBorder="1" applyAlignment="1" applyProtection="1">
      <alignment vertical="center"/>
    </xf>
    <xf numFmtId="10" fontId="5" fillId="0" borderId="37" xfId="5" applyNumberFormat="1" applyFont="1" applyFill="1" applyBorder="1" applyAlignment="1">
      <alignment vertical="center"/>
    </xf>
    <xf numFmtId="49" fontId="6" fillId="0" borderId="2" xfId="4" applyNumberFormat="1" applyFont="1" applyFill="1" applyBorder="1" applyAlignment="1" applyProtection="1">
      <alignment horizontal="center" vertical="center"/>
    </xf>
    <xf numFmtId="0" fontId="11" fillId="0" borderId="26" xfId="4" applyFont="1" applyFill="1" applyBorder="1" applyAlignment="1" applyProtection="1">
      <alignment vertical="center"/>
    </xf>
    <xf numFmtId="0" fontId="5" fillId="0" borderId="26" xfId="4" applyFont="1" applyFill="1" applyBorder="1" applyAlignment="1">
      <alignment vertical="center"/>
    </xf>
    <xf numFmtId="4" fontId="6" fillId="0" borderId="37" xfId="1" applyNumberFormat="1" applyFont="1" applyFill="1" applyBorder="1" applyAlignment="1" applyProtection="1">
      <alignment vertical="center"/>
    </xf>
    <xf numFmtId="0" fontId="11" fillId="0" borderId="0" xfId="4" applyFont="1" applyFill="1" applyBorder="1" applyAlignment="1" applyProtection="1">
      <alignment vertical="center"/>
    </xf>
    <xf numFmtId="0" fontId="5" fillId="0" borderId="0" xfId="4" applyFont="1" applyFill="1" applyBorder="1" applyAlignment="1">
      <alignment vertical="center"/>
    </xf>
    <xf numFmtId="0" fontId="11" fillId="0" borderId="11" xfId="4" applyFont="1" applyFill="1" applyBorder="1" applyAlignment="1" applyProtection="1">
      <alignment vertical="center"/>
    </xf>
    <xf numFmtId="0" fontId="5" fillId="0" borderId="11" xfId="4" applyFont="1" applyFill="1" applyBorder="1" applyAlignment="1">
      <alignment vertical="center"/>
    </xf>
    <xf numFmtId="0" fontId="5" fillId="0" borderId="14" xfId="4" applyFont="1" applyFill="1" applyBorder="1" applyAlignment="1">
      <alignment vertical="center"/>
    </xf>
    <xf numFmtId="0" fontId="5" fillId="0" borderId="15" xfId="4" applyFont="1" applyFill="1" applyBorder="1" applyAlignment="1">
      <alignment vertical="center"/>
    </xf>
    <xf numFmtId="0" fontId="5" fillId="0" borderId="0" xfId="4" applyFont="1" applyFill="1" applyAlignment="1">
      <alignment vertical="center"/>
    </xf>
    <xf numFmtId="0" fontId="5" fillId="0" borderId="87" xfId="4" applyFont="1" applyFill="1" applyBorder="1" applyAlignment="1">
      <alignment vertical="center"/>
    </xf>
    <xf numFmtId="164" fontId="6" fillId="2" borderId="71" xfId="3" applyFont="1" applyFill="1" applyBorder="1" applyAlignment="1">
      <alignment horizontal="center" vertical="center"/>
    </xf>
    <xf numFmtId="0" fontId="5" fillId="0" borderId="17" xfId="4" applyFont="1" applyFill="1" applyBorder="1" applyAlignment="1">
      <alignment vertical="center"/>
    </xf>
    <xf numFmtId="0" fontId="5" fillId="0" borderId="0" xfId="4" applyFont="1" applyFill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2" fontId="7" fillId="0" borderId="6" xfId="1" applyNumberFormat="1" applyFont="1" applyBorder="1" applyAlignment="1">
      <alignment horizontal="center" wrapText="1"/>
    </xf>
    <xf numFmtId="2" fontId="7" fillId="0" borderId="0" xfId="1" applyNumberFormat="1" applyFont="1" applyAlignment="1">
      <alignment horizontal="center" wrapText="1"/>
    </xf>
    <xf numFmtId="0" fontId="7" fillId="0" borderId="27" xfId="1" applyFont="1" applyBorder="1" applyAlignment="1">
      <alignment horizontal="center"/>
    </xf>
    <xf numFmtId="0" fontId="7" fillId="0" borderId="0" xfId="1" applyFont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2" fontId="7" fillId="0" borderId="6" xfId="1" applyNumberFormat="1" applyFont="1" applyBorder="1" applyAlignment="1">
      <alignment horizontal="center"/>
    </xf>
    <xf numFmtId="0" fontId="7" fillId="0" borderId="6" xfId="1" applyFont="1" applyBorder="1" applyAlignment="1">
      <alignment horizontal="center" wrapText="1"/>
    </xf>
    <xf numFmtId="0" fontId="8" fillId="0" borderId="27" xfId="0" applyFont="1" applyBorder="1" applyAlignment="1">
      <alignment horizontal="center" wrapText="1"/>
    </xf>
    <xf numFmtId="0" fontId="7" fillId="0" borderId="6" xfId="0" applyFont="1" applyBorder="1" applyAlignment="1">
      <alignment horizontal="center" textRotation="180" wrapText="1"/>
    </xf>
    <xf numFmtId="0" fontId="7" fillId="0" borderId="7" xfId="0" applyFont="1" applyBorder="1" applyAlignment="1">
      <alignment horizontal="center"/>
    </xf>
    <xf numFmtId="0" fontId="7" fillId="0" borderId="6" xfId="0" applyFont="1" applyBorder="1" applyAlignment="1">
      <alignment horizontal="center" wrapText="1"/>
    </xf>
    <xf numFmtId="0" fontId="7" fillId="0" borderId="6" xfId="0" applyFont="1" applyBorder="1" applyAlignment="1">
      <alignment wrapText="1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167" fontId="8" fillId="0" borderId="6" xfId="1" applyNumberFormat="1" applyFont="1" applyBorder="1" applyAlignment="1">
      <alignment horizontal="center"/>
    </xf>
    <xf numFmtId="2" fontId="7" fillId="0" borderId="8" xfId="1" applyNumberFormat="1" applyFont="1" applyBorder="1" applyAlignment="1">
      <alignment horizontal="center"/>
    </xf>
    <xf numFmtId="2" fontId="8" fillId="0" borderId="0" xfId="0" applyNumberFormat="1" applyFont="1" applyAlignment="1">
      <alignment horizontal="center"/>
    </xf>
    <xf numFmtId="1" fontId="8" fillId="0" borderId="6" xfId="1" applyNumberFormat="1" applyFont="1" applyBorder="1" applyAlignment="1">
      <alignment horizontal="center"/>
    </xf>
    <xf numFmtId="2" fontId="8" fillId="0" borderId="27" xfId="0" applyNumberFormat="1" applyFont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8" fillId="0" borderId="0" xfId="1" applyFont="1"/>
    <xf numFmtId="0" fontId="5" fillId="0" borderId="0" xfId="1"/>
    <xf numFmtId="0" fontId="5" fillId="0" borderId="0" xfId="1" applyAlignment="1">
      <alignment horizontal="center"/>
    </xf>
    <xf numFmtId="0" fontId="6" fillId="0" borderId="0" xfId="1" applyFont="1"/>
    <xf numFmtId="2" fontId="6" fillId="0" borderId="3" xfId="1" applyNumberFormat="1" applyFont="1" applyBorder="1" applyAlignment="1">
      <alignment horizontal="centerContinuous" vertical="center"/>
    </xf>
    <xf numFmtId="0" fontId="5" fillId="0" borderId="26" xfId="1" applyBorder="1" applyAlignment="1">
      <alignment horizontal="centerContinuous" vertical="center"/>
    </xf>
    <xf numFmtId="0" fontId="6" fillId="0" borderId="26" xfId="1" applyFont="1" applyBorder="1" applyAlignment="1">
      <alignment horizontal="centerContinuous" vertical="center"/>
    </xf>
    <xf numFmtId="0" fontId="6" fillId="0" borderId="26" xfId="0" applyFont="1" applyBorder="1" applyAlignment="1">
      <alignment horizontal="centerContinuous" vertical="center"/>
    </xf>
    <xf numFmtId="0" fontId="6" fillId="0" borderId="37" xfId="0" applyFont="1" applyBorder="1" applyAlignment="1">
      <alignment horizontal="centerContinuous" vertical="center"/>
    </xf>
    <xf numFmtId="2" fontId="6" fillId="0" borderId="2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165" fontId="6" fillId="0" borderId="5" xfId="1" applyNumberFormat="1" applyFont="1" applyBorder="1" applyAlignment="1">
      <alignment horizontal="center" vertical="center" wrapText="1"/>
    </xf>
    <xf numFmtId="165" fontId="6" fillId="0" borderId="28" xfId="1" applyNumberFormat="1" applyFont="1" applyBorder="1" applyAlignment="1">
      <alignment horizontal="center" vertical="center"/>
    </xf>
    <xf numFmtId="165" fontId="6" fillId="0" borderId="28" xfId="1" applyNumberFormat="1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textRotation="90" wrapText="1"/>
    </xf>
    <xf numFmtId="4" fontId="5" fillId="0" borderId="6" xfId="1" applyNumberFormat="1" applyBorder="1" applyAlignment="1">
      <alignment vertical="center"/>
    </xf>
    <xf numFmtId="4" fontId="5" fillId="0" borderId="4" xfId="1" applyNumberFormat="1" applyBorder="1" applyAlignment="1">
      <alignment vertical="center"/>
    </xf>
    <xf numFmtId="0" fontId="6" fillId="0" borderId="26" xfId="1" applyFont="1" applyBorder="1" applyAlignment="1">
      <alignment horizontal="left" vertical="center"/>
    </xf>
    <xf numFmtId="2" fontId="5" fillId="0" borderId="26" xfId="1" applyNumberFormat="1" applyBorder="1" applyAlignment="1">
      <alignment horizontal="center" vertical="center"/>
    </xf>
    <xf numFmtId="167" fontId="5" fillId="0" borderId="26" xfId="1" applyNumberFormat="1" applyBorder="1" applyAlignment="1">
      <alignment horizontal="center" vertical="center"/>
    </xf>
    <xf numFmtId="0" fontId="6" fillId="0" borderId="26" xfId="0" applyFont="1" applyBorder="1" applyAlignment="1">
      <alignment vertical="center"/>
    </xf>
    <xf numFmtId="0" fontId="6" fillId="0" borderId="37" xfId="0" applyFont="1" applyBorder="1" applyAlignment="1">
      <alignment vertical="center"/>
    </xf>
    <xf numFmtId="4" fontId="6" fillId="0" borderId="37" xfId="1" applyNumberFormat="1" applyFont="1" applyBorder="1" applyAlignment="1">
      <alignment vertical="center"/>
    </xf>
    <xf numFmtId="4" fontId="6" fillId="0" borderId="27" xfId="1" applyNumberFormat="1" applyFont="1" applyBorder="1" applyAlignment="1">
      <alignment vertical="center"/>
    </xf>
    <xf numFmtId="0" fontId="6" fillId="0" borderId="3" xfId="1" applyFont="1" applyBorder="1" applyAlignment="1">
      <alignment horizontal="left" vertical="center"/>
    </xf>
    <xf numFmtId="4" fontId="6" fillId="0" borderId="17" xfId="1" applyNumberFormat="1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168" fontId="6" fillId="0" borderId="28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39" fontId="13" fillId="10" borderId="12" xfId="3" applyNumberFormat="1" applyFont="1" applyFill="1" applyBorder="1" applyAlignment="1" applyProtection="1">
      <alignment horizontal="centerContinuous" vertical="center"/>
    </xf>
    <xf numFmtId="39" fontId="13" fillId="10" borderId="63" xfId="3" applyNumberFormat="1" applyFont="1" applyFill="1" applyBorder="1" applyAlignment="1" applyProtection="1">
      <alignment horizontal="centerContinuous" vertical="center"/>
    </xf>
    <xf numFmtId="0" fontId="5" fillId="8" borderId="10" xfId="1" applyFill="1" applyBorder="1" applyAlignment="1">
      <alignment horizontal="center" vertical="center"/>
    </xf>
    <xf numFmtId="0" fontId="5" fillId="7" borderId="12" xfId="1" applyFill="1" applyBorder="1" applyAlignment="1">
      <alignment horizontal="center" vertical="center"/>
    </xf>
    <xf numFmtId="0" fontId="5" fillId="7" borderId="10" xfId="1" applyFill="1" applyBorder="1" applyAlignment="1">
      <alignment vertical="center"/>
    </xf>
    <xf numFmtId="164" fontId="5" fillId="7" borderId="10" xfId="3" applyFont="1" applyFill="1" applyBorder="1" applyAlignment="1" applyProtection="1">
      <alignment horizontal="center" vertical="center"/>
    </xf>
    <xf numFmtId="39" fontId="18" fillId="10" borderId="63" xfId="3" applyNumberFormat="1" applyFont="1" applyFill="1" applyBorder="1" applyAlignment="1" applyProtection="1">
      <alignment horizontal="centerContinuous" vertical="center"/>
    </xf>
    <xf numFmtId="0" fontId="6" fillId="7" borderId="10" xfId="1" applyFont="1" applyFill="1" applyBorder="1" applyAlignment="1">
      <alignment vertical="center"/>
    </xf>
    <xf numFmtId="0" fontId="5" fillId="7" borderId="10" xfId="1" applyFill="1" applyBorder="1" applyAlignment="1">
      <alignment horizontal="center" vertical="center"/>
    </xf>
    <xf numFmtId="0" fontId="5" fillId="7" borderId="13" xfId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49" fontId="6" fillId="0" borderId="14" xfId="1" applyNumberFormat="1" applyFont="1" applyBorder="1" applyAlignment="1">
      <alignment vertical="center"/>
    </xf>
    <xf numFmtId="0" fontId="5" fillId="0" borderId="64" xfId="0" applyFont="1" applyBorder="1" applyAlignment="1">
      <alignment vertical="center"/>
    </xf>
    <xf numFmtId="0" fontId="5" fillId="7" borderId="14" xfId="0" applyFont="1" applyFill="1" applyBorder="1" applyAlignment="1">
      <alignment vertical="center"/>
    </xf>
    <xf numFmtId="164" fontId="5" fillId="7" borderId="0" xfId="3" applyFont="1" applyFill="1" applyBorder="1" applyAlignment="1" applyProtection="1">
      <alignment horizontal="center" vertical="center"/>
    </xf>
    <xf numFmtId="0" fontId="5" fillId="7" borderId="15" xfId="1" applyFill="1" applyBorder="1" applyAlignment="1">
      <alignment horizontal="left" vertical="center"/>
    </xf>
    <xf numFmtId="49" fontId="18" fillId="9" borderId="14" xfId="0" applyNumberFormat="1" applyFont="1" applyFill="1" applyBorder="1" applyAlignment="1">
      <alignment horizontal="center" vertical="center"/>
    </xf>
    <xf numFmtId="4" fontId="18" fillId="9" borderId="64" xfId="1" applyNumberFormat="1" applyFont="1" applyFill="1" applyBorder="1" applyAlignment="1">
      <alignment horizontal="center" vertical="center"/>
    </xf>
    <xf numFmtId="0" fontId="18" fillId="9" borderId="15" xfId="1" applyFont="1" applyFill="1" applyBorder="1" applyAlignment="1" applyProtection="1">
      <alignment horizontal="centerContinuous" vertical="center"/>
      <protection locked="0"/>
    </xf>
    <xf numFmtId="0" fontId="5" fillId="7" borderId="14" xfId="1" applyFill="1" applyBorder="1" applyAlignment="1">
      <alignment horizontal="center" vertical="center"/>
    </xf>
    <xf numFmtId="0" fontId="5" fillId="7" borderId="15" xfId="1" applyFill="1" applyBorder="1" applyAlignment="1">
      <alignment vertical="center"/>
    </xf>
    <xf numFmtId="49" fontId="13" fillId="0" borderId="14" xfId="0" applyNumberFormat="1" applyFont="1" applyBorder="1" applyAlignment="1">
      <alignment vertical="center"/>
    </xf>
    <xf numFmtId="0" fontId="6" fillId="0" borderId="64" xfId="1" applyFont="1" applyBorder="1" applyAlignment="1">
      <alignment horizontal="right" vertical="center"/>
    </xf>
    <xf numFmtId="0" fontId="6" fillId="8" borderId="15" xfId="1" applyFont="1" applyFill="1" applyBorder="1" applyAlignment="1" applyProtection="1">
      <alignment vertical="center"/>
      <protection locked="0"/>
    </xf>
    <xf numFmtId="0" fontId="6" fillId="8" borderId="15" xfId="1" applyFont="1" applyFill="1" applyBorder="1" applyAlignment="1">
      <alignment vertical="center"/>
    </xf>
    <xf numFmtId="49" fontId="5" fillId="0" borderId="14" xfId="0" applyNumberFormat="1" applyFont="1" applyBorder="1" applyAlignment="1">
      <alignment horizontal="center" vertical="center"/>
    </xf>
    <xf numFmtId="10" fontId="6" fillId="0" borderId="27" xfId="5" applyNumberFormat="1" applyFont="1" applyFill="1" applyBorder="1" applyAlignment="1" applyProtection="1">
      <alignment horizontal="right" vertical="center"/>
      <protection locked="0"/>
    </xf>
    <xf numFmtId="10" fontId="6" fillId="2" borderId="27" xfId="5" applyNumberFormat="1" applyFont="1" applyFill="1" applyBorder="1" applyAlignment="1" applyProtection="1">
      <alignment horizontal="right" vertical="center"/>
      <protection locked="0"/>
    </xf>
    <xf numFmtId="49" fontId="13" fillId="0" borderId="16" xfId="0" applyNumberFormat="1" applyFont="1" applyBorder="1" applyAlignment="1">
      <alignment vertical="center"/>
    </xf>
    <xf numFmtId="0" fontId="6" fillId="0" borderId="56" xfId="1" applyFont="1" applyBorder="1" applyAlignment="1">
      <alignment horizontal="right" vertical="center"/>
    </xf>
    <xf numFmtId="0" fontId="6" fillId="8" borderId="11" xfId="1" applyFont="1" applyFill="1" applyBorder="1" applyAlignment="1">
      <alignment horizontal="right" vertical="center"/>
    </xf>
    <xf numFmtId="169" fontId="6" fillId="8" borderId="27" xfId="1" applyNumberFormat="1" applyFont="1" applyFill="1" applyBorder="1" applyAlignment="1" applyProtection="1">
      <alignment horizontal="right" vertical="center"/>
      <protection locked="0"/>
    </xf>
    <xf numFmtId="0" fontId="6" fillId="8" borderId="17" xfId="1" applyFont="1" applyFill="1" applyBorder="1" applyAlignment="1" applyProtection="1">
      <alignment vertical="center"/>
      <protection locked="0"/>
    </xf>
    <xf numFmtId="0" fontId="5" fillId="7" borderId="16" xfId="1" applyFill="1" applyBorder="1" applyAlignment="1">
      <alignment horizontal="center" vertical="center"/>
    </xf>
    <xf numFmtId="0" fontId="5" fillId="7" borderId="11" xfId="1" applyFill="1" applyBorder="1" applyAlignment="1">
      <alignment vertical="center"/>
    </xf>
    <xf numFmtId="164" fontId="5" fillId="7" borderId="11" xfId="3" applyFont="1" applyFill="1" applyBorder="1" applyAlignment="1" applyProtection="1">
      <alignment horizontal="center" vertical="center"/>
    </xf>
    <xf numFmtId="0" fontId="6" fillId="7" borderId="11" xfId="1" applyFont="1" applyFill="1" applyBorder="1" applyAlignment="1">
      <alignment vertical="center"/>
    </xf>
    <xf numFmtId="0" fontId="5" fillId="7" borderId="11" xfId="1" applyFill="1" applyBorder="1" applyAlignment="1">
      <alignment horizontal="center" vertical="center"/>
    </xf>
    <xf numFmtId="0" fontId="5" fillId="7" borderId="17" xfId="1" applyFill="1" applyBorder="1" applyAlignment="1">
      <alignment vertical="center"/>
    </xf>
    <xf numFmtId="49" fontId="6" fillId="5" borderId="57" xfId="0" applyNumberFormat="1" applyFont="1" applyFill="1" applyBorder="1" applyAlignment="1" applyProtection="1">
      <alignment horizontal="left" vertical="center"/>
      <protection locked="0"/>
    </xf>
    <xf numFmtId="49" fontId="6" fillId="5" borderId="59" xfId="0" applyNumberFormat="1" applyFont="1" applyFill="1" applyBorder="1" applyAlignment="1" applyProtection="1">
      <alignment horizontal="center" vertical="center"/>
      <protection locked="0"/>
    </xf>
    <xf numFmtId="49" fontId="6" fillId="5" borderId="60" xfId="0" applyNumberFormat="1" applyFont="1" applyFill="1" applyBorder="1" applyAlignment="1" applyProtection="1">
      <alignment horizontal="center" vertical="center"/>
      <protection locked="0"/>
    </xf>
    <xf numFmtId="49" fontId="6" fillId="5" borderId="21" xfId="0" applyNumberFormat="1" applyFont="1" applyFill="1" applyBorder="1" applyAlignment="1" applyProtection="1">
      <alignment horizontal="center" vertical="center"/>
      <protection locked="0"/>
    </xf>
    <xf numFmtId="0" fontId="6" fillId="5" borderId="20" xfId="0" applyFont="1" applyFill="1" applyBorder="1" applyAlignment="1" applyProtection="1">
      <alignment horizontal="left" vertical="center"/>
      <protection locked="0"/>
    </xf>
    <xf numFmtId="0" fontId="6" fillId="5" borderId="19" xfId="0" applyFont="1" applyFill="1" applyBorder="1" applyAlignment="1" applyProtection="1">
      <alignment horizontal="left" vertical="center"/>
      <protection locked="0"/>
    </xf>
    <xf numFmtId="0" fontId="6" fillId="5" borderId="21" xfId="0" applyFont="1" applyFill="1" applyBorder="1" applyAlignment="1" applyProtection="1">
      <alignment horizontal="left" vertical="center"/>
      <protection locked="0"/>
    </xf>
    <xf numFmtId="49" fontId="6" fillId="0" borderId="65" xfId="0" applyNumberFormat="1" applyFont="1" applyBorder="1" applyAlignment="1">
      <alignment horizontal="left" vertical="center"/>
    </xf>
    <xf numFmtId="49" fontId="6" fillId="5" borderId="74" xfId="0" applyNumberFormat="1" applyFont="1" applyFill="1" applyBorder="1" applyAlignment="1" applyProtection="1">
      <alignment horizontal="left" vertical="center"/>
      <protection locked="0"/>
    </xf>
    <xf numFmtId="49" fontId="6" fillId="5" borderId="73" xfId="0" applyNumberFormat="1" applyFont="1" applyFill="1" applyBorder="1" applyAlignment="1" applyProtection="1">
      <alignment horizontal="center" vertical="center"/>
      <protection locked="0"/>
    </xf>
    <xf numFmtId="49" fontId="6" fillId="5" borderId="75" xfId="0" applyNumberFormat="1" applyFont="1" applyFill="1" applyBorder="1" applyAlignment="1" applyProtection="1">
      <alignment horizontal="center" vertical="center"/>
      <protection locked="0"/>
    </xf>
    <xf numFmtId="49" fontId="6" fillId="5" borderId="53" xfId="0" applyNumberFormat="1" applyFont="1" applyFill="1" applyBorder="1" applyAlignment="1" applyProtection="1">
      <alignment horizontal="center" vertical="center"/>
      <protection locked="0"/>
    </xf>
    <xf numFmtId="0" fontId="6" fillId="5" borderId="65" xfId="0" applyFont="1" applyFill="1" applyBorder="1" applyAlignment="1" applyProtection="1">
      <alignment horizontal="left" vertical="center"/>
      <protection locked="0"/>
    </xf>
    <xf numFmtId="0" fontId="6" fillId="5" borderId="61" xfId="0" applyFont="1" applyFill="1" applyBorder="1" applyAlignment="1" applyProtection="1">
      <alignment horizontal="left" vertical="center"/>
      <protection locked="0"/>
    </xf>
    <xf numFmtId="0" fontId="6" fillId="5" borderId="53" xfId="0" applyFont="1" applyFill="1" applyBorder="1" applyAlignment="1" applyProtection="1">
      <alignment horizontal="left" vertical="center"/>
      <protection locked="0"/>
    </xf>
    <xf numFmtId="49" fontId="6" fillId="0" borderId="16" xfId="0" applyNumberFormat="1" applyFont="1" applyBorder="1" applyAlignment="1">
      <alignment horizontal="left" vertical="center"/>
    </xf>
    <xf numFmtId="49" fontId="6" fillId="5" borderId="58" xfId="0" applyNumberFormat="1" applyFont="1" applyFill="1" applyBorder="1" applyAlignment="1" applyProtection="1">
      <alignment horizontal="left" vertical="center"/>
      <protection locked="0"/>
    </xf>
    <xf numFmtId="49" fontId="6" fillId="5" borderId="11" xfId="0" applyNumberFormat="1" applyFont="1" applyFill="1" applyBorder="1" applyAlignment="1" applyProtection="1">
      <alignment horizontal="center" vertical="center"/>
      <protection locked="0"/>
    </xf>
    <xf numFmtId="49" fontId="6" fillId="5" borderId="72" xfId="0" applyNumberFormat="1" applyFont="1" applyFill="1" applyBorder="1" applyAlignment="1" applyProtection="1">
      <alignment horizontal="center" vertical="center"/>
      <protection locked="0"/>
    </xf>
    <xf numFmtId="49" fontId="6" fillId="5" borderId="17" xfId="0" applyNumberFormat="1" applyFont="1" applyFill="1" applyBorder="1" applyAlignment="1" applyProtection="1">
      <alignment horizontal="center" vertical="center"/>
      <protection locked="0"/>
    </xf>
    <xf numFmtId="0" fontId="6" fillId="5" borderId="16" xfId="0" applyFont="1" applyFill="1" applyBorder="1" applyAlignment="1" applyProtection="1">
      <alignment horizontal="left" vertical="center"/>
      <protection locked="0"/>
    </xf>
    <xf numFmtId="0" fontId="6" fillId="5" borderId="11" xfId="0" applyFont="1" applyFill="1" applyBorder="1" applyAlignment="1" applyProtection="1">
      <alignment horizontal="left" vertical="center"/>
      <protection locked="0"/>
    </xf>
    <xf numFmtId="0" fontId="6" fillId="5" borderId="17" xfId="0" applyFont="1" applyFill="1" applyBorder="1" applyAlignment="1" applyProtection="1">
      <alignment horizontal="left" vertical="center"/>
      <protection locked="0"/>
    </xf>
    <xf numFmtId="49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Continuous" vertical="center" wrapText="1"/>
    </xf>
    <xf numFmtId="0" fontId="6" fillId="0" borderId="2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48" xfId="1" applyFont="1" applyBorder="1" applyAlignment="1">
      <alignment horizontal="center" vertical="center"/>
    </xf>
    <xf numFmtId="0" fontId="11" fillId="0" borderId="61" xfId="0" applyFont="1" applyBorder="1" applyAlignment="1">
      <alignment horizontal="left" vertical="center"/>
    </xf>
    <xf numFmtId="0" fontId="11" fillId="0" borderId="43" xfId="0" applyFont="1" applyBorder="1" applyAlignment="1">
      <alignment horizontal="centerContinuous" vertical="center"/>
    </xf>
    <xf numFmtId="0" fontId="5" fillId="0" borderId="16" xfId="0" quotePrefix="1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7" xfId="1" applyBorder="1" applyAlignment="1">
      <alignment vertical="center"/>
    </xf>
    <xf numFmtId="4" fontId="16" fillId="0" borderId="3" xfId="0" applyNumberFormat="1" applyFont="1" applyBorder="1" applyAlignment="1">
      <alignment vertical="center"/>
    </xf>
    <xf numFmtId="4" fontId="17" fillId="0" borderId="37" xfId="0" applyNumberFormat="1" applyFont="1" applyBorder="1" applyAlignment="1">
      <alignment vertical="center"/>
    </xf>
    <xf numFmtId="4" fontId="6" fillId="0" borderId="3" xfId="1" applyNumberFormat="1" applyFont="1" applyBorder="1" applyAlignment="1">
      <alignment vertical="center"/>
    </xf>
    <xf numFmtId="4" fontId="6" fillId="0" borderId="26" xfId="1" applyNumberFormat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" fontId="5" fillId="0" borderId="29" xfId="1" applyNumberFormat="1" applyBorder="1" applyAlignment="1">
      <alignment vertical="center"/>
    </xf>
    <xf numFmtId="2" fontId="5" fillId="0" borderId="6" xfId="1" applyNumberFormat="1" applyBorder="1" applyAlignment="1">
      <alignment horizontal="center" vertical="center"/>
    </xf>
    <xf numFmtId="2" fontId="6" fillId="0" borderId="6" xfId="1" applyNumberFormat="1" applyFont="1" applyBorder="1" applyAlignment="1">
      <alignment horizontal="center" vertical="center"/>
    </xf>
    <xf numFmtId="2" fontId="5" fillId="0" borderId="32" xfId="1" applyNumberFormat="1" applyBorder="1" applyAlignment="1">
      <alignment horizontal="center" vertical="center"/>
    </xf>
    <xf numFmtId="0" fontId="5" fillId="0" borderId="53" xfId="1" applyBorder="1" applyAlignment="1">
      <alignment vertical="center" wrapText="1"/>
    </xf>
    <xf numFmtId="4" fontId="5" fillId="0" borderId="32" xfId="1" applyNumberFormat="1" applyBorder="1" applyAlignment="1">
      <alignment vertical="center"/>
    </xf>
    <xf numFmtId="4" fontId="6" fillId="3" borderId="0" xfId="0" applyNumberFormat="1" applyFont="1" applyFill="1" applyAlignment="1">
      <alignment horizontal="right" vertical="center"/>
    </xf>
    <xf numFmtId="0" fontId="6" fillId="0" borderId="53" xfId="1" applyFont="1" applyBorder="1" applyAlignment="1">
      <alignment vertical="center" wrapText="1"/>
    </xf>
    <xf numFmtId="0" fontId="6" fillId="4" borderId="44" xfId="1" applyFont="1" applyFill="1" applyBorder="1" applyAlignment="1">
      <alignment vertical="center"/>
    </xf>
    <xf numFmtId="4" fontId="16" fillId="0" borderId="65" xfId="0" applyNumberFormat="1" applyFont="1" applyBorder="1" applyAlignment="1">
      <alignment vertical="center"/>
    </xf>
    <xf numFmtId="4" fontId="17" fillId="0" borderId="53" xfId="0" applyNumberFormat="1" applyFont="1" applyBorder="1" applyAlignment="1">
      <alignment vertical="center"/>
    </xf>
    <xf numFmtId="4" fontId="6" fillId="0" borderId="65" xfId="1" applyNumberFormat="1" applyFont="1" applyBorder="1" applyAlignment="1">
      <alignment vertical="center"/>
    </xf>
    <xf numFmtId="4" fontId="6" fillId="0" borderId="61" xfId="1" applyNumberFormat="1" applyFont="1" applyBorder="1" applyAlignment="1">
      <alignment vertical="center"/>
    </xf>
    <xf numFmtId="4" fontId="6" fillId="0" borderId="53" xfId="1" applyNumberFormat="1" applyFont="1" applyBorder="1" applyAlignment="1">
      <alignment vertical="center"/>
    </xf>
    <xf numFmtId="0" fontId="5" fillId="7" borderId="32" xfId="0" applyFont="1" applyFill="1" applyBorder="1" applyAlignment="1" applyProtection="1">
      <alignment horizontal="left" vertical="center" wrapText="1"/>
      <protection locked="0"/>
    </xf>
    <xf numFmtId="0" fontId="6" fillId="7" borderId="53" xfId="1" applyFont="1" applyFill="1" applyBorder="1" applyAlignment="1">
      <alignment vertical="center"/>
    </xf>
    <xf numFmtId="2" fontId="5" fillId="0" borderId="30" xfId="1" applyNumberFormat="1" applyBorder="1" applyAlignment="1">
      <alignment horizontal="left" vertical="center"/>
    </xf>
    <xf numFmtId="167" fontId="5" fillId="0" borderId="32" xfId="1" applyNumberFormat="1" applyBorder="1" applyAlignment="1">
      <alignment horizontal="left" vertical="center"/>
    </xf>
    <xf numFmtId="2" fontId="5" fillId="0" borderId="6" xfId="1" applyNumberFormat="1" applyBorder="1" applyAlignment="1">
      <alignment horizontal="left" vertical="center"/>
    </xf>
    <xf numFmtId="2" fontId="5" fillId="0" borderId="6" xfId="1" applyNumberFormat="1" applyBorder="1" applyAlignment="1">
      <alignment horizontal="right" vertical="center"/>
    </xf>
    <xf numFmtId="2" fontId="6" fillId="0" borderId="6" xfId="1" applyNumberFormat="1" applyFont="1" applyBorder="1" applyAlignment="1">
      <alignment horizontal="right" vertical="center"/>
    </xf>
    <xf numFmtId="2" fontId="6" fillId="7" borderId="32" xfId="1" applyNumberFormat="1" applyFont="1" applyFill="1" applyBorder="1" applyAlignment="1">
      <alignment horizontal="center" vertical="center"/>
    </xf>
    <xf numFmtId="0" fontId="5" fillId="7" borderId="46" xfId="0" applyFont="1" applyFill="1" applyBorder="1" applyAlignment="1" applyProtection="1">
      <alignment horizontal="left" vertical="center" wrapText="1"/>
      <protection locked="0"/>
    </xf>
    <xf numFmtId="2" fontId="5" fillId="0" borderId="43" xfId="1" applyNumberFormat="1" applyBorder="1" applyAlignment="1">
      <alignment horizontal="left" vertical="center"/>
    </xf>
    <xf numFmtId="2" fontId="6" fillId="0" borderId="29" xfId="1" applyNumberFormat="1" applyFont="1" applyBorder="1" applyAlignment="1">
      <alignment horizontal="right" vertical="center"/>
    </xf>
    <xf numFmtId="0" fontId="5" fillId="7" borderId="50" xfId="0" applyFont="1" applyFill="1" applyBorder="1" applyAlignment="1" applyProtection="1">
      <alignment horizontal="left" vertical="center" wrapText="1"/>
      <protection locked="0"/>
    </xf>
    <xf numFmtId="0" fontId="6" fillId="7" borderId="54" xfId="1" applyFont="1" applyFill="1" applyBorder="1" applyAlignment="1">
      <alignment vertical="center"/>
    </xf>
    <xf numFmtId="2" fontId="5" fillId="0" borderId="42" xfId="1" applyNumberFormat="1" applyBorder="1" applyAlignment="1">
      <alignment horizontal="left" vertical="center"/>
    </xf>
    <xf numFmtId="167" fontId="5" fillId="0" borderId="40" xfId="1" applyNumberFormat="1" applyBorder="1" applyAlignment="1">
      <alignment horizontal="left" vertical="center"/>
    </xf>
    <xf numFmtId="2" fontId="5" fillId="0" borderId="38" xfId="1" applyNumberFormat="1" applyBorder="1" applyAlignment="1">
      <alignment horizontal="left" vertical="center"/>
    </xf>
    <xf numFmtId="2" fontId="5" fillId="0" borderId="39" xfId="1" applyNumberFormat="1" applyBorder="1" applyAlignment="1">
      <alignment horizontal="left" vertical="center"/>
    </xf>
    <xf numFmtId="2" fontId="5" fillId="0" borderId="39" xfId="1" applyNumberFormat="1" applyBorder="1" applyAlignment="1">
      <alignment horizontal="right" vertical="center"/>
    </xf>
    <xf numFmtId="2" fontId="6" fillId="0" borderId="1" xfId="1" applyNumberFormat="1" applyFont="1" applyBorder="1" applyAlignment="1">
      <alignment horizontal="right" vertical="center"/>
    </xf>
    <xf numFmtId="2" fontId="6" fillId="7" borderId="40" xfId="1" applyNumberFormat="1" applyFont="1" applyFill="1" applyBorder="1" applyAlignment="1">
      <alignment horizontal="center" vertical="center"/>
    </xf>
    <xf numFmtId="4" fontId="5" fillId="0" borderId="39" xfId="1" applyNumberFormat="1" applyBorder="1" applyAlignment="1">
      <alignment vertical="center"/>
    </xf>
    <xf numFmtId="0" fontId="16" fillId="4" borderId="27" xfId="0" applyFont="1" applyFill="1" applyBorder="1" applyAlignment="1">
      <alignment horizontal="center" vertical="center"/>
    </xf>
    <xf numFmtId="4" fontId="5" fillId="5" borderId="6" xfId="0" applyNumberFormat="1" applyFont="1" applyFill="1" applyBorder="1" applyAlignment="1" applyProtection="1">
      <alignment vertical="center"/>
      <protection locked="0"/>
    </xf>
    <xf numFmtId="0" fontId="11" fillId="0" borderId="37" xfId="0" applyFont="1" applyBorder="1" applyAlignment="1">
      <alignment vertical="center" wrapText="1"/>
    </xf>
    <xf numFmtId="0" fontId="5" fillId="0" borderId="53" xfId="1" applyBorder="1" applyAlignment="1">
      <alignment horizontal="left" vertical="center" wrapText="1"/>
    </xf>
    <xf numFmtId="4" fontId="5" fillId="0" borderId="43" xfId="0" applyNumberFormat="1" applyFont="1" applyBorder="1" applyAlignment="1">
      <alignment horizontal="center" vertical="center"/>
    </xf>
    <xf numFmtId="4" fontId="5" fillId="0" borderId="6" xfId="0" applyNumberFormat="1" applyFont="1" applyBorder="1" applyAlignment="1">
      <alignment horizontal="center" vertical="center"/>
    </xf>
    <xf numFmtId="2" fontId="5" fillId="7" borderId="32" xfId="1" applyNumberFormat="1" applyFill="1" applyBorder="1" applyAlignment="1">
      <alignment horizontal="center" vertical="center"/>
    </xf>
    <xf numFmtId="2" fontId="5" fillId="7" borderId="40" xfId="1" applyNumberFormat="1" applyFill="1" applyBorder="1" applyAlignment="1">
      <alignment horizontal="center" vertical="center"/>
    </xf>
    <xf numFmtId="4" fontId="5" fillId="5" borderId="1" xfId="0" applyNumberFormat="1" applyFont="1" applyFill="1" applyBorder="1" applyAlignment="1" applyProtection="1">
      <alignment vertical="center"/>
      <protection locked="0"/>
    </xf>
    <xf numFmtId="4" fontId="5" fillId="0" borderId="80" xfId="1" applyNumberFormat="1" applyBorder="1" applyAlignment="1">
      <alignment vertical="center"/>
    </xf>
    <xf numFmtId="4" fontId="5" fillId="0" borderId="82" xfId="1" applyNumberFormat="1" applyBorder="1" applyAlignment="1">
      <alignment vertical="center"/>
    </xf>
    <xf numFmtId="4" fontId="5" fillId="0" borderId="23" xfId="1" applyNumberFormat="1" applyBorder="1" applyAlignment="1">
      <alignment vertical="center"/>
    </xf>
    <xf numFmtId="4" fontId="5" fillId="0" borderId="84" xfId="1" applyNumberFormat="1" applyBorder="1" applyAlignment="1">
      <alignment vertical="center"/>
    </xf>
    <xf numFmtId="2" fontId="6" fillId="0" borderId="32" xfId="1" applyNumberFormat="1" applyFont="1" applyBorder="1" applyAlignment="1">
      <alignment horizontal="center" vertical="center"/>
    </xf>
    <xf numFmtId="4" fontId="5" fillId="0" borderId="1" xfId="1" applyNumberFormat="1" applyBorder="1" applyAlignment="1">
      <alignment vertical="center"/>
    </xf>
    <xf numFmtId="4" fontId="5" fillId="0" borderId="22" xfId="1" applyNumberFormat="1" applyBorder="1" applyAlignment="1">
      <alignment vertical="center"/>
    </xf>
    <xf numFmtId="4" fontId="5" fillId="0" borderId="50" xfId="1" applyNumberFormat="1" applyBorder="1" applyAlignment="1">
      <alignment vertical="center"/>
    </xf>
    <xf numFmtId="4" fontId="5" fillId="5" borderId="29" xfId="0" applyNumberFormat="1" applyFont="1" applyFill="1" applyBorder="1" applyAlignment="1" applyProtection="1">
      <alignment horizontal="right" vertical="center"/>
      <protection locked="0"/>
    </xf>
    <xf numFmtId="0" fontId="19" fillId="6" borderId="0" xfId="0" applyFont="1" applyFill="1" applyAlignment="1">
      <alignment vertical="center"/>
    </xf>
    <xf numFmtId="0" fontId="6" fillId="0" borderId="37" xfId="1" applyFont="1" applyBorder="1" applyAlignment="1">
      <alignment horizontal="left" vertical="center"/>
    </xf>
    <xf numFmtId="4" fontId="6" fillId="5" borderId="62" xfId="0" applyNumberFormat="1" applyFont="1" applyFill="1" applyBorder="1" applyAlignment="1" applyProtection="1">
      <alignment vertical="center"/>
      <protection locked="0"/>
    </xf>
    <xf numFmtId="164" fontId="5" fillId="0" borderId="0" xfId="3" applyFont="1" applyFill="1" applyAlignment="1">
      <alignment vertical="center"/>
    </xf>
    <xf numFmtId="43" fontId="5" fillId="0" borderId="0" xfId="0" quotePrefix="1" applyNumberFormat="1" applyFont="1" applyAlignment="1">
      <alignment vertical="center"/>
    </xf>
    <xf numFmtId="0" fontId="44" fillId="0" borderId="0" xfId="4" applyFont="1" applyAlignment="1">
      <alignment vertical="center"/>
    </xf>
    <xf numFmtId="0" fontId="23" fillId="0" borderId="0" xfId="6" applyProtection="1">
      <protection locked="0"/>
    </xf>
    <xf numFmtId="0" fontId="6" fillId="0" borderId="3" xfId="0" applyFont="1" applyBorder="1" applyAlignment="1">
      <alignment horizontal="centerContinuous" vertical="center" wrapText="1"/>
    </xf>
    <xf numFmtId="49" fontId="6" fillId="0" borderId="20" xfId="0" applyNumberFormat="1" applyFont="1" applyBorder="1" applyAlignment="1">
      <alignment horizontal="left" vertical="center"/>
    </xf>
    <xf numFmtId="2" fontId="5" fillId="0" borderId="3" xfId="1" applyNumberFormat="1" applyBorder="1" applyAlignment="1">
      <alignment horizontal="center" vertical="center"/>
    </xf>
    <xf numFmtId="0" fontId="23" fillId="0" borderId="0" xfId="6" applyAlignment="1">
      <alignment vertical="center"/>
    </xf>
    <xf numFmtId="0" fontId="23" fillId="0" borderId="0" xfId="6" applyAlignment="1" applyProtection="1">
      <alignment vertical="center"/>
      <protection locked="0"/>
    </xf>
    <xf numFmtId="2" fontId="28" fillId="0" borderId="65" xfId="6" applyNumberFormat="1" applyFont="1" applyBorder="1" applyAlignment="1">
      <alignment horizontal="right" vertical="center"/>
    </xf>
    <xf numFmtId="2" fontId="28" fillId="0" borderId="53" xfId="6" applyNumberFormat="1" applyFont="1" applyBorder="1" applyAlignment="1">
      <alignment horizontal="center" vertical="center"/>
    </xf>
    <xf numFmtId="0" fontId="31" fillId="0" borderId="0" xfId="6" applyFont="1" applyAlignment="1">
      <alignment vertical="center"/>
    </xf>
    <xf numFmtId="2" fontId="28" fillId="0" borderId="158" xfId="6" applyNumberFormat="1" applyFont="1" applyBorder="1" applyAlignment="1">
      <alignment horizontal="right" vertical="center"/>
    </xf>
    <xf numFmtId="2" fontId="28" fillId="0" borderId="54" xfId="6" applyNumberFormat="1" applyFont="1" applyBorder="1" applyAlignment="1">
      <alignment horizontal="center" vertical="center"/>
    </xf>
    <xf numFmtId="0" fontId="27" fillId="0" borderId="3" xfId="6" applyFont="1" applyBorder="1" applyAlignment="1">
      <alignment horizontal="right" vertical="center"/>
    </xf>
    <xf numFmtId="2" fontId="27" fillId="0" borderId="37" xfId="6" applyNumberFormat="1" applyFont="1" applyBorder="1" applyAlignment="1">
      <alignment horizontal="center" vertical="center"/>
    </xf>
    <xf numFmtId="2" fontId="23" fillId="0" borderId="0" xfId="6" applyNumberFormat="1" applyAlignment="1" applyProtection="1">
      <alignment vertical="center"/>
      <protection locked="0"/>
    </xf>
    <xf numFmtId="0" fontId="27" fillId="0" borderId="76" xfId="6" applyFont="1" applyBorder="1" applyAlignment="1">
      <alignment vertical="center"/>
    </xf>
    <xf numFmtId="2" fontId="28" fillId="0" borderId="79" xfId="6" applyNumberFormat="1" applyFont="1" applyBorder="1" applyAlignment="1">
      <alignment horizontal="center" vertical="center"/>
    </xf>
    <xf numFmtId="2" fontId="28" fillId="0" borderId="51" xfId="6" applyNumberFormat="1" applyFont="1" applyBorder="1" applyAlignment="1">
      <alignment horizontal="center" vertical="center"/>
    </xf>
    <xf numFmtId="0" fontId="23" fillId="0" borderId="0" xfId="6" quotePrefix="1" applyAlignment="1" applyProtection="1">
      <alignment vertical="center"/>
      <protection locked="0"/>
    </xf>
    <xf numFmtId="2" fontId="28" fillId="7" borderId="35" xfId="6" applyNumberFormat="1" applyFont="1" applyFill="1" applyBorder="1" applyAlignment="1" applyProtection="1">
      <alignment horizontal="center" vertical="center"/>
      <protection locked="0"/>
    </xf>
    <xf numFmtId="2" fontId="28" fillId="7" borderId="51" xfId="6" applyNumberFormat="1" applyFont="1" applyFill="1" applyBorder="1" applyAlignment="1" applyProtection="1">
      <alignment horizontal="center" vertical="center"/>
      <protection locked="0"/>
    </xf>
    <xf numFmtId="164" fontId="23" fillId="0" borderId="0" xfId="3" applyFont="1" applyFill="1" applyAlignment="1" applyProtection="1">
      <alignment vertical="center"/>
    </xf>
    <xf numFmtId="0" fontId="27" fillId="0" borderId="65" xfId="6" applyFont="1" applyBorder="1" applyAlignment="1">
      <alignment vertical="center"/>
    </xf>
    <xf numFmtId="2" fontId="28" fillId="7" borderId="30" xfId="6" applyNumberFormat="1" applyFont="1" applyFill="1" applyBorder="1" applyAlignment="1" applyProtection="1">
      <alignment horizontal="center" vertical="center"/>
      <protection locked="0"/>
    </xf>
    <xf numFmtId="2" fontId="28" fillId="7" borderId="53" xfId="6" applyNumberFormat="1" applyFont="1" applyFill="1" applyBorder="1" applyAlignment="1" applyProtection="1">
      <alignment horizontal="center" vertical="center"/>
      <protection locked="0"/>
    </xf>
    <xf numFmtId="0" fontId="27" fillId="0" borderId="55" xfId="6" applyFont="1" applyBorder="1" applyAlignment="1">
      <alignment vertical="center"/>
    </xf>
    <xf numFmtId="2" fontId="28" fillId="7" borderId="25" xfId="6" applyNumberFormat="1" applyFont="1" applyFill="1" applyBorder="1" applyAlignment="1" applyProtection="1">
      <alignment horizontal="center" vertical="center"/>
      <protection locked="0"/>
    </xf>
    <xf numFmtId="2" fontId="28" fillId="7" borderId="77" xfId="6" applyNumberFormat="1" applyFont="1" applyFill="1" applyBorder="1" applyAlignment="1" applyProtection="1">
      <alignment horizontal="center" vertical="center"/>
      <protection locked="0"/>
    </xf>
    <xf numFmtId="0" fontId="27" fillId="0" borderId="27" xfId="6" applyFont="1" applyBorder="1" applyAlignment="1">
      <alignment vertical="center"/>
    </xf>
    <xf numFmtId="2" fontId="27" fillId="0" borderId="36" xfId="6" applyNumberFormat="1" applyFont="1" applyBorder="1" applyAlignment="1">
      <alignment horizontal="center" vertical="center"/>
    </xf>
    <xf numFmtId="0" fontId="45" fillId="0" borderId="0" xfId="4" quotePrefix="1" applyFont="1" applyAlignment="1">
      <alignment vertical="center"/>
    </xf>
    <xf numFmtId="0" fontId="46" fillId="0" borderId="2" xfId="6" applyFont="1" applyBorder="1" applyAlignment="1">
      <alignment vertical="center"/>
    </xf>
    <xf numFmtId="10" fontId="46" fillId="0" borderId="3" xfId="6" applyNumberFormat="1" applyFont="1" applyBorder="1" applyAlignment="1">
      <alignment horizontal="centerContinuous" vertical="center"/>
    </xf>
    <xf numFmtId="9" fontId="46" fillId="0" borderId="37" xfId="6" applyNumberFormat="1" applyFont="1" applyBorder="1" applyAlignment="1">
      <alignment horizontal="centerContinuous" vertical="center"/>
    </xf>
    <xf numFmtId="0" fontId="33" fillId="0" borderId="27" xfId="6" applyFont="1" applyBorder="1" applyAlignment="1">
      <alignment horizontal="center" vertical="center"/>
    </xf>
    <xf numFmtId="169" fontId="23" fillId="0" borderId="0" xfId="6" applyNumberFormat="1" applyAlignment="1">
      <alignment vertical="center"/>
    </xf>
    <xf numFmtId="0" fontId="47" fillId="0" borderId="0" xfId="6" applyFont="1" applyAlignment="1">
      <alignment vertical="center"/>
    </xf>
    <xf numFmtId="0" fontId="48" fillId="0" borderId="0" xfId="6" applyFont="1" applyAlignment="1" applyProtection="1">
      <alignment vertical="center"/>
      <protection locked="0"/>
    </xf>
    <xf numFmtId="0" fontId="48" fillId="0" borderId="0" xfId="6" applyFont="1" applyProtection="1">
      <protection locked="0"/>
    </xf>
    <xf numFmtId="0" fontId="28" fillId="0" borderId="0" xfId="6" applyFont="1" applyAlignment="1">
      <alignment vertical="center"/>
    </xf>
    <xf numFmtId="0" fontId="4" fillId="0" borderId="0" xfId="6" applyFont="1" applyAlignment="1">
      <alignment vertical="center"/>
    </xf>
    <xf numFmtId="0" fontId="6" fillId="0" borderId="0" xfId="6" applyFont="1" applyAlignment="1">
      <alignment vertical="center"/>
    </xf>
    <xf numFmtId="0" fontId="49" fillId="0" borderId="0" xfId="6" applyFont="1" applyAlignment="1">
      <alignment horizontal="center" vertical="center"/>
    </xf>
    <xf numFmtId="0" fontId="3" fillId="0" borderId="0" xfId="6" applyFont="1" applyAlignment="1">
      <alignment vertical="center"/>
    </xf>
    <xf numFmtId="164" fontId="50" fillId="7" borderId="27" xfId="3" applyFont="1" applyFill="1" applyBorder="1" applyAlignment="1" applyProtection="1">
      <alignment horizontal="right" vertical="center"/>
      <protection locked="0"/>
    </xf>
    <xf numFmtId="2" fontId="30" fillId="0" borderId="0" xfId="6" applyNumberFormat="1" applyFont="1" applyAlignment="1">
      <alignment horizontal="left" vertical="center"/>
    </xf>
    <xf numFmtId="2" fontId="30" fillId="0" borderId="6" xfId="6" applyNumberFormat="1" applyFont="1" applyBorder="1" applyAlignment="1">
      <alignment horizontal="right" vertical="center"/>
    </xf>
    <xf numFmtId="0" fontId="32" fillId="0" borderId="0" xfId="6" applyFont="1" applyAlignment="1">
      <alignment vertical="center"/>
    </xf>
    <xf numFmtId="0" fontId="25" fillId="0" borderId="0" xfId="6" applyFont="1" applyAlignment="1">
      <alignment vertical="center"/>
    </xf>
    <xf numFmtId="0" fontId="6" fillId="0" borderId="27" xfId="6" applyFont="1" applyBorder="1" applyAlignment="1">
      <alignment horizontal="center" vertical="center"/>
    </xf>
    <xf numFmtId="0" fontId="6" fillId="0" borderId="36" xfId="6" applyFont="1" applyBorder="1" applyAlignment="1">
      <alignment horizontal="center" vertical="center"/>
    </xf>
    <xf numFmtId="0" fontId="6" fillId="0" borderId="5" xfId="6" applyFont="1" applyBorder="1" applyAlignment="1">
      <alignment horizontal="center" vertical="center"/>
    </xf>
    <xf numFmtId="0" fontId="6" fillId="0" borderId="28" xfId="6" applyFont="1" applyBorder="1" applyAlignment="1">
      <alignment horizontal="center" vertical="center"/>
    </xf>
    <xf numFmtId="0" fontId="5" fillId="0" borderId="31" xfId="6" applyFont="1" applyBorder="1" applyAlignment="1">
      <alignment vertical="center" wrapText="1"/>
    </xf>
    <xf numFmtId="10" fontId="5" fillId="0" borderId="45" xfId="6" applyNumberFormat="1" applyFont="1" applyBorder="1" applyAlignment="1">
      <alignment horizontal="center" vertical="center"/>
    </xf>
    <xf numFmtId="10" fontId="5" fillId="0" borderId="29" xfId="6" applyNumberFormat="1" applyFont="1" applyBorder="1" applyAlignment="1">
      <alignment horizontal="center" vertical="center"/>
    </xf>
    <xf numFmtId="10" fontId="5" fillId="0" borderId="46" xfId="6" applyNumberFormat="1" applyFont="1" applyBorder="1" applyAlignment="1">
      <alignment horizontal="center" vertical="center"/>
    </xf>
    <xf numFmtId="0" fontId="5" fillId="0" borderId="44" xfId="6" applyFont="1" applyBorder="1" applyAlignment="1">
      <alignment vertical="center" wrapText="1"/>
    </xf>
    <xf numFmtId="10" fontId="5" fillId="0" borderId="43" xfId="6" applyNumberFormat="1" applyFont="1" applyBorder="1" applyAlignment="1">
      <alignment horizontal="center" vertical="center"/>
    </xf>
    <xf numFmtId="10" fontId="5" fillId="0" borderId="6" xfId="6" applyNumberFormat="1" applyFont="1" applyBorder="1" applyAlignment="1">
      <alignment horizontal="center" vertical="center"/>
    </xf>
    <xf numFmtId="10" fontId="5" fillId="0" borderId="32" xfId="6" applyNumberFormat="1" applyFont="1" applyBorder="1" applyAlignment="1">
      <alignment horizontal="center" vertical="center"/>
    </xf>
    <xf numFmtId="0" fontId="5" fillId="0" borderId="8" xfId="6" applyFont="1" applyBorder="1" applyAlignment="1">
      <alignment vertical="center" wrapText="1"/>
    </xf>
    <xf numFmtId="10" fontId="5" fillId="0" borderId="83" xfId="6" applyNumberFormat="1" applyFont="1" applyBorder="1" applyAlignment="1">
      <alignment horizontal="center" vertical="center"/>
    </xf>
    <xf numFmtId="10" fontId="5" fillId="0" borderId="23" xfId="6" applyNumberFormat="1" applyFont="1" applyBorder="1" applyAlignment="1">
      <alignment horizontal="center" vertical="center"/>
    </xf>
    <xf numFmtId="10" fontId="5" fillId="0" borderId="84" xfId="6" applyNumberFormat="1" applyFont="1" applyBorder="1" applyAlignment="1">
      <alignment horizontal="center" vertical="center"/>
    </xf>
    <xf numFmtId="0" fontId="25" fillId="0" borderId="0" xfId="6" applyFont="1" applyAlignment="1">
      <alignment vertical="center" wrapText="1"/>
    </xf>
    <xf numFmtId="10" fontId="5" fillId="0" borderId="86" xfId="6" applyNumberFormat="1" applyFont="1" applyBorder="1" applyAlignment="1">
      <alignment horizontal="center" vertical="center"/>
    </xf>
    <xf numFmtId="10" fontId="5" fillId="0" borderId="22" xfId="6" applyNumberFormat="1" applyFont="1" applyBorder="1" applyAlignment="1">
      <alignment horizontal="center" vertical="center"/>
    </xf>
    <xf numFmtId="10" fontId="5" fillId="0" borderId="50" xfId="6" applyNumberFormat="1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86" xfId="6" applyFont="1" applyBorder="1" applyAlignment="1">
      <alignment horizontal="center" vertical="center"/>
    </xf>
    <xf numFmtId="0" fontId="6" fillId="0" borderId="22" xfId="6" applyFont="1" applyBorder="1" applyAlignment="1">
      <alignment horizontal="center" vertical="center"/>
    </xf>
    <xf numFmtId="0" fontId="6" fillId="0" borderId="50" xfId="6" applyFont="1" applyBorder="1" applyAlignment="1">
      <alignment horizontal="center" vertical="center"/>
    </xf>
    <xf numFmtId="10" fontId="25" fillId="0" borderId="0" xfId="6" applyNumberFormat="1" applyFont="1" applyAlignment="1">
      <alignment vertical="center"/>
    </xf>
    <xf numFmtId="10" fontId="23" fillId="0" borderId="0" xfId="6" applyNumberFormat="1" applyAlignment="1">
      <alignment vertical="center"/>
    </xf>
    <xf numFmtId="0" fontId="6" fillId="0" borderId="27" xfId="6" applyFont="1" applyBorder="1" applyAlignment="1">
      <alignment vertical="center" wrapText="1"/>
    </xf>
    <xf numFmtId="0" fontId="25" fillId="0" borderId="0" xfId="6" applyFont="1" applyAlignment="1" applyProtection="1">
      <alignment vertical="center"/>
      <protection locked="0"/>
    </xf>
    <xf numFmtId="164" fontId="6" fillId="0" borderId="0" xfId="3" applyFont="1" applyAlignment="1">
      <alignment vertical="center"/>
    </xf>
    <xf numFmtId="2" fontId="51" fillId="0" borderId="6" xfId="6" quotePrefix="1" applyNumberFormat="1" applyFont="1" applyBorder="1" applyAlignment="1">
      <alignment horizontal="right" vertical="center"/>
    </xf>
    <xf numFmtId="0" fontId="5" fillId="3" borderId="19" xfId="13" quotePrefix="1" applyFont="1" applyFill="1" applyBorder="1" applyAlignment="1">
      <alignment horizontal="left" vertical="center" indent="3"/>
    </xf>
    <xf numFmtId="0" fontId="5" fillId="3" borderId="19" xfId="13" quotePrefix="1" applyFont="1" applyFill="1" applyBorder="1" applyAlignment="1">
      <alignment horizontal="left"/>
    </xf>
    <xf numFmtId="0" fontId="5" fillId="3" borderId="10" xfId="13" applyFont="1" applyFill="1" applyBorder="1"/>
    <xf numFmtId="0" fontId="5" fillId="3" borderId="19" xfId="13" applyFont="1" applyFill="1" applyBorder="1"/>
    <xf numFmtId="0" fontId="5" fillId="3" borderId="13" xfId="13" applyFont="1" applyFill="1" applyBorder="1"/>
    <xf numFmtId="0" fontId="5" fillId="0" borderId="0" xfId="13" applyFont="1" applyProtection="1">
      <protection locked="0"/>
    </xf>
    <xf numFmtId="0" fontId="5" fillId="3" borderId="38" xfId="13" applyFont="1" applyFill="1" applyBorder="1" applyAlignment="1">
      <alignment horizontal="center"/>
    </xf>
    <xf numFmtId="0" fontId="5" fillId="3" borderId="118" xfId="13" applyFont="1" applyFill="1" applyBorder="1" applyAlignment="1">
      <alignment horizontal="left"/>
    </xf>
    <xf numFmtId="0" fontId="5" fillId="3" borderId="9" xfId="13" applyFont="1" applyFill="1" applyBorder="1" applyAlignment="1">
      <alignment horizontal="centerContinuous"/>
    </xf>
    <xf numFmtId="0" fontId="6" fillId="3" borderId="6" xfId="13" applyFont="1" applyFill="1" applyBorder="1" applyAlignment="1">
      <alignment horizontal="center"/>
    </xf>
    <xf numFmtId="0" fontId="5" fillId="3" borderId="7" xfId="13" applyFont="1" applyFill="1" applyBorder="1" applyAlignment="1">
      <alignment horizontal="centerContinuous"/>
    </xf>
    <xf numFmtId="0" fontId="5" fillId="3" borderId="61" xfId="13" applyFont="1" applyFill="1" applyBorder="1" applyAlignment="1">
      <alignment horizontal="centerContinuous"/>
    </xf>
    <xf numFmtId="0" fontId="5" fillId="3" borderId="43" xfId="13" applyFont="1" applyFill="1" applyBorder="1" applyAlignment="1">
      <alignment horizontal="centerContinuous"/>
    </xf>
    <xf numFmtId="0" fontId="5" fillId="3" borderId="45" xfId="13" applyFont="1" applyFill="1" applyBorder="1" applyAlignment="1">
      <alignment horizontal="centerContinuous"/>
    </xf>
    <xf numFmtId="0" fontId="5" fillId="3" borderId="119" xfId="13" applyFont="1" applyFill="1" applyBorder="1" applyAlignment="1">
      <alignment horizontal="centerContinuous"/>
    </xf>
    <xf numFmtId="0" fontId="5" fillId="3" borderId="9" xfId="13" applyFont="1" applyFill="1" applyBorder="1" applyAlignment="1">
      <alignment horizontal="center"/>
    </xf>
    <xf numFmtId="0" fontId="5" fillId="3" borderId="120" xfId="13" applyFont="1" applyFill="1" applyBorder="1" applyAlignment="1">
      <alignment horizontal="center"/>
    </xf>
    <xf numFmtId="0" fontId="5" fillId="3" borderId="121" xfId="13" applyFont="1" applyFill="1" applyBorder="1" applyAlignment="1">
      <alignment horizontal="center"/>
    </xf>
    <xf numFmtId="0" fontId="5" fillId="3" borderId="90" xfId="13" applyFont="1" applyFill="1" applyBorder="1" applyAlignment="1">
      <alignment horizontal="center"/>
    </xf>
    <xf numFmtId="0" fontId="5" fillId="3" borderId="92" xfId="13" applyFont="1" applyFill="1" applyBorder="1"/>
    <xf numFmtId="0" fontId="5" fillId="3" borderId="122" xfId="13" applyFont="1" applyFill="1" applyBorder="1"/>
    <xf numFmtId="0" fontId="5" fillId="3" borderId="93" xfId="13" applyFont="1" applyFill="1" applyBorder="1" applyAlignment="1">
      <alignment horizontal="center"/>
    </xf>
    <xf numFmtId="0" fontId="5" fillId="3" borderId="123" xfId="13" applyFont="1" applyFill="1" applyBorder="1" applyAlignment="1">
      <alignment horizontal="center"/>
    </xf>
    <xf numFmtId="0" fontId="5" fillId="3" borderId="122" xfId="13" applyFont="1" applyFill="1" applyBorder="1" applyAlignment="1">
      <alignment horizontal="center"/>
    </xf>
    <xf numFmtId="0" fontId="5" fillId="3" borderId="124" xfId="13" applyFont="1" applyFill="1" applyBorder="1" applyAlignment="1">
      <alignment horizontal="center"/>
    </xf>
    <xf numFmtId="0" fontId="5" fillId="3" borderId="125" xfId="13" applyFont="1" applyFill="1" applyBorder="1" applyAlignment="1">
      <alignment horizontal="center"/>
    </xf>
    <xf numFmtId="0" fontId="6" fillId="3" borderId="92" xfId="13" applyFont="1" applyFill="1" applyBorder="1" applyAlignment="1">
      <alignment textRotation="180"/>
    </xf>
    <xf numFmtId="170" fontId="5" fillId="3" borderId="93" xfId="13" applyNumberFormat="1" applyFont="1" applyFill="1" applyBorder="1" applyAlignment="1">
      <alignment horizontal="center"/>
    </xf>
    <xf numFmtId="170" fontId="5" fillId="3" borderId="123" xfId="13" applyNumberFormat="1" applyFont="1" applyFill="1" applyBorder="1" applyAlignment="1">
      <alignment horizontal="center"/>
    </xf>
    <xf numFmtId="170" fontId="5" fillId="3" borderId="122" xfId="13" applyNumberFormat="1" applyFont="1" applyFill="1" applyBorder="1" applyAlignment="1">
      <alignment horizontal="center"/>
    </xf>
    <xf numFmtId="49" fontId="4" fillId="3" borderId="94" xfId="13" applyNumberFormat="1" applyFont="1" applyFill="1" applyBorder="1" applyAlignment="1">
      <alignment horizontal="center"/>
    </xf>
    <xf numFmtId="49" fontId="4" fillId="3" borderId="126" xfId="13" applyNumberFormat="1" applyFont="1" applyFill="1" applyBorder="1" applyAlignment="1">
      <alignment horizontal="left"/>
    </xf>
    <xf numFmtId="49" fontId="4" fillId="3" borderId="45" xfId="13" applyNumberFormat="1" applyFont="1" applyFill="1" applyBorder="1" applyAlignment="1">
      <alignment horizontal="left"/>
    </xf>
    <xf numFmtId="0" fontId="52" fillId="3" borderId="6" xfId="13" applyFont="1" applyFill="1" applyBorder="1"/>
    <xf numFmtId="0" fontId="4" fillId="3" borderId="45" xfId="13" applyFont="1" applyFill="1" applyBorder="1" applyAlignment="1">
      <alignment horizontal="center"/>
    </xf>
    <xf numFmtId="0" fontId="4" fillId="3" borderId="127" xfId="13" applyFont="1" applyFill="1" applyBorder="1" applyAlignment="1">
      <alignment horizontal="center"/>
    </xf>
    <xf numFmtId="0" fontId="4" fillId="3" borderId="67" xfId="13" applyFont="1" applyFill="1" applyBorder="1" applyAlignment="1">
      <alignment horizontal="center"/>
    </xf>
    <xf numFmtId="40" fontId="3" fillId="13" borderId="128" xfId="13" applyNumberFormat="1" applyFont="1" applyFill="1" applyBorder="1" applyAlignment="1">
      <alignment horizontal="right"/>
    </xf>
    <xf numFmtId="2" fontId="4" fillId="3" borderId="46" xfId="13" applyNumberFormat="1" applyFont="1" applyFill="1" applyBorder="1"/>
    <xf numFmtId="0" fontId="5" fillId="0" borderId="0" xfId="13" applyFont="1"/>
    <xf numFmtId="49" fontId="4" fillId="3" borderId="35" xfId="13" applyNumberFormat="1" applyFont="1" applyFill="1" applyBorder="1" applyAlignment="1">
      <alignment horizontal="center"/>
    </xf>
    <xf numFmtId="0" fontId="5" fillId="3" borderId="129" xfId="13" applyFont="1" applyFill="1" applyBorder="1"/>
    <xf numFmtId="0" fontId="5" fillId="3" borderId="130" xfId="13" applyFont="1" applyFill="1" applyBorder="1"/>
    <xf numFmtId="0" fontId="5" fillId="3" borderId="132" xfId="13" applyFont="1" applyFill="1" applyBorder="1"/>
    <xf numFmtId="0" fontId="5" fillId="3" borderId="133" xfId="13" applyFont="1" applyFill="1" applyBorder="1" applyAlignment="1">
      <alignment horizontal="centerContinuous"/>
    </xf>
    <xf numFmtId="0" fontId="5" fillId="3" borderId="94" xfId="13" applyFont="1" applyFill="1" applyBorder="1" applyAlignment="1">
      <alignment horizontal="center"/>
    </xf>
    <xf numFmtId="0" fontId="5" fillId="3" borderId="137" xfId="13" applyFont="1" applyFill="1" applyBorder="1" applyAlignment="1">
      <alignment horizontal="center"/>
    </xf>
    <xf numFmtId="0" fontId="5" fillId="3" borderId="138" xfId="13" applyFont="1" applyFill="1" applyBorder="1" applyAlignment="1">
      <alignment horizontal="center"/>
    </xf>
    <xf numFmtId="0" fontId="5" fillId="3" borderId="67" xfId="13" applyFont="1" applyFill="1" applyBorder="1" applyAlignment="1">
      <alignment horizontal="center"/>
    </xf>
    <xf numFmtId="40" fontId="5" fillId="0" borderId="0" xfId="13" applyNumberFormat="1" applyFont="1" applyProtection="1">
      <protection locked="0"/>
    </xf>
    <xf numFmtId="0" fontId="5" fillId="3" borderId="143" xfId="13" applyFont="1" applyFill="1" applyBorder="1" applyAlignment="1">
      <alignment horizontal="centerContinuous"/>
    </xf>
    <xf numFmtId="0" fontId="5" fillId="3" borderId="143" xfId="13" applyFont="1" applyFill="1" applyBorder="1"/>
    <xf numFmtId="0" fontId="5" fillId="3" borderId="148" xfId="13" applyFont="1" applyFill="1" applyBorder="1" applyAlignment="1">
      <alignment horizontal="centerContinuous"/>
    </xf>
    <xf numFmtId="0" fontId="5" fillId="3" borderId="148" xfId="13" applyFont="1" applyFill="1" applyBorder="1"/>
    <xf numFmtId="0" fontId="5" fillId="3" borderId="137" xfId="13" applyFont="1" applyFill="1" applyBorder="1" applyAlignment="1">
      <alignment horizontal="centerContinuous"/>
    </xf>
    <xf numFmtId="0" fontId="5" fillId="3" borderId="137" xfId="13" applyFont="1" applyFill="1" applyBorder="1"/>
    <xf numFmtId="0" fontId="5" fillId="13" borderId="10" xfId="13" applyFont="1" applyFill="1" applyBorder="1" applyProtection="1">
      <protection locked="0"/>
    </xf>
    <xf numFmtId="0" fontId="5" fillId="13" borderId="13" xfId="13" applyFont="1" applyFill="1" applyBorder="1" applyProtection="1">
      <protection locked="0"/>
    </xf>
    <xf numFmtId="0" fontId="5" fillId="13" borderId="16" xfId="13" applyFont="1" applyFill="1" applyBorder="1" applyAlignment="1" applyProtection="1">
      <alignment horizontal="centerContinuous" vertical="center" wrapText="1"/>
      <protection locked="0"/>
    </xf>
    <xf numFmtId="0" fontId="5" fillId="13" borderId="11" xfId="13" applyFont="1" applyFill="1" applyBorder="1" applyProtection="1">
      <protection locked="0"/>
    </xf>
    <xf numFmtId="0" fontId="5" fillId="13" borderId="156" xfId="13" applyFont="1" applyFill="1" applyBorder="1" applyProtection="1">
      <protection locked="0"/>
    </xf>
    <xf numFmtId="0" fontId="5" fillId="13" borderId="11" xfId="13" applyFont="1" applyFill="1" applyBorder="1" applyAlignment="1" applyProtection="1">
      <alignment horizontal="centerContinuous" vertical="center" wrapText="1"/>
      <protection locked="0"/>
    </xf>
    <xf numFmtId="0" fontId="5" fillId="13" borderId="11" xfId="13" applyFont="1" applyFill="1" applyBorder="1" applyAlignment="1" applyProtection="1">
      <alignment horizontal="left" vertical="center"/>
      <protection locked="0"/>
    </xf>
    <xf numFmtId="0" fontId="5" fillId="13" borderId="17" xfId="13" applyFont="1" applyFill="1" applyBorder="1" applyAlignment="1" applyProtection="1">
      <alignment horizontal="centerContinuous" vertical="center"/>
      <protection locked="0"/>
    </xf>
    <xf numFmtId="0" fontId="5" fillId="3" borderId="16" xfId="13" applyFont="1" applyFill="1" applyBorder="1" applyAlignment="1">
      <alignment horizontal="centerContinuous" vertical="center"/>
    </xf>
    <xf numFmtId="14" fontId="5" fillId="3" borderId="11" xfId="13" applyNumberFormat="1" applyFont="1" applyFill="1" applyBorder="1" applyAlignment="1">
      <alignment horizontal="center" vertical="center"/>
    </xf>
    <xf numFmtId="0" fontId="5" fillId="3" borderId="11" xfId="13" applyFont="1" applyFill="1" applyBorder="1" applyAlignment="1">
      <alignment horizontal="centerContinuous"/>
    </xf>
    <xf numFmtId="0" fontId="5" fillId="0" borderId="156" xfId="13" applyFont="1" applyBorder="1"/>
    <xf numFmtId="0" fontId="5" fillId="3" borderId="11" xfId="13" applyFont="1" applyFill="1" applyBorder="1" applyAlignment="1">
      <alignment horizontal="centerContinuous" vertical="center" wrapText="1"/>
    </xf>
    <xf numFmtId="0" fontId="5" fillId="3" borderId="11" xfId="13" applyFont="1" applyFill="1" applyBorder="1" applyAlignment="1">
      <alignment vertical="center"/>
    </xf>
    <xf numFmtId="17" fontId="5" fillId="3" borderId="17" xfId="13" applyNumberFormat="1" applyFont="1" applyFill="1" applyBorder="1" applyAlignment="1">
      <alignment horizontal="center" vertical="center"/>
    </xf>
    <xf numFmtId="17" fontId="5" fillId="13" borderId="11" xfId="13" applyNumberFormat="1" applyFont="1" applyFill="1" applyBorder="1" applyAlignment="1" applyProtection="1">
      <alignment horizontal="center" vertical="center"/>
      <protection locked="0"/>
    </xf>
    <xf numFmtId="17" fontId="5" fillId="13" borderId="17" xfId="13" applyNumberFormat="1" applyFont="1" applyFill="1" applyBorder="1" applyAlignment="1" applyProtection="1">
      <alignment horizontal="center" vertical="center"/>
      <protection locked="0"/>
    </xf>
    <xf numFmtId="0" fontId="5" fillId="0" borderId="44" xfId="1" applyFill="1" applyBorder="1" applyAlignment="1">
      <alignment vertical="center"/>
    </xf>
    <xf numFmtId="2" fontId="5" fillId="0" borderId="43" xfId="1" applyNumberFormat="1" applyFill="1" applyBorder="1" applyAlignment="1">
      <alignment horizontal="center" vertical="center"/>
    </xf>
    <xf numFmtId="167" fontId="5" fillId="0" borderId="32" xfId="1" applyNumberFormat="1" applyFill="1" applyBorder="1" applyAlignment="1">
      <alignment horizontal="center" vertical="center"/>
    </xf>
    <xf numFmtId="2" fontId="5" fillId="0" borderId="30" xfId="1" applyNumberFormat="1" applyFill="1" applyBorder="1" applyAlignment="1">
      <alignment horizontal="center" vertical="center"/>
    </xf>
    <xf numFmtId="2" fontId="6" fillId="0" borderId="6" xfId="1" applyNumberFormat="1" applyFont="1" applyFill="1" applyBorder="1" applyAlignment="1">
      <alignment horizontal="center" vertical="center"/>
    </xf>
    <xf numFmtId="2" fontId="5" fillId="0" borderId="32" xfId="1" applyNumberForma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53" xfId="1" applyFill="1" applyBorder="1" applyAlignment="1">
      <alignment vertical="center" wrapText="1"/>
    </xf>
    <xf numFmtId="2" fontId="8" fillId="15" borderId="0" xfId="0" applyNumberFormat="1" applyFont="1" applyFill="1" applyAlignment="1">
      <alignment horizontal="center"/>
    </xf>
    <xf numFmtId="0" fontId="8" fillId="15" borderId="0" xfId="0" applyFont="1" applyFill="1"/>
    <xf numFmtId="4" fontId="5" fillId="0" borderId="29" xfId="0" applyNumberFormat="1" applyFont="1" applyFill="1" applyBorder="1" applyAlignment="1" applyProtection="1">
      <alignment vertical="center"/>
      <protection locked="0"/>
    </xf>
    <xf numFmtId="4" fontId="6" fillId="0" borderId="61" xfId="1" applyNumberFormat="1" applyFont="1" applyFill="1" applyBorder="1" applyAlignment="1">
      <alignment vertical="center"/>
    </xf>
    <xf numFmtId="2" fontId="6" fillId="0" borderId="6" xfId="1" applyNumberFormat="1" applyFont="1" applyFill="1" applyBorder="1" applyAlignment="1">
      <alignment horizontal="right" vertical="center"/>
    </xf>
    <xf numFmtId="2" fontId="6" fillId="0" borderId="29" xfId="1" applyNumberFormat="1" applyFont="1" applyFill="1" applyBorder="1" applyAlignment="1">
      <alignment horizontal="right" vertical="center"/>
    </xf>
    <xf numFmtId="2" fontId="6" fillId="0" borderId="1" xfId="1" applyNumberFormat="1" applyFont="1" applyFill="1" applyBorder="1" applyAlignment="1">
      <alignment horizontal="right" vertical="center"/>
    </xf>
    <xf numFmtId="4" fontId="6" fillId="0" borderId="26" xfId="1" applyNumberFormat="1" applyFont="1" applyFill="1" applyBorder="1" applyAlignment="1">
      <alignment vertical="center"/>
    </xf>
    <xf numFmtId="2" fontId="6" fillId="0" borderId="80" xfId="1" applyNumberFormat="1" applyFont="1" applyFill="1" applyBorder="1" applyAlignment="1">
      <alignment horizontal="center" vertical="center"/>
    </xf>
    <xf numFmtId="49" fontId="6" fillId="0" borderId="16" xfId="0" applyNumberFormat="1" applyFont="1" applyFill="1" applyBorder="1" applyAlignment="1">
      <alignment horizontal="center" vertical="center"/>
    </xf>
    <xf numFmtId="0" fontId="18" fillId="0" borderId="30" xfId="0" quotePrefix="1" applyFont="1" applyFill="1" applyBorder="1" applyAlignment="1">
      <alignment horizontal="center" vertical="center"/>
    </xf>
    <xf numFmtId="49" fontId="18" fillId="0" borderId="30" xfId="0" quotePrefix="1" applyNumberFormat="1" applyFont="1" applyFill="1" applyBorder="1" applyAlignment="1" applyProtection="1">
      <alignment horizontal="center" vertical="center"/>
      <protection locked="0"/>
    </xf>
    <xf numFmtId="49" fontId="18" fillId="0" borderId="25" xfId="0" quotePrefix="1" applyNumberFormat="1" applyFont="1" applyFill="1" applyBorder="1" applyAlignment="1" applyProtection="1">
      <alignment horizontal="center" vertical="center"/>
      <protection locked="0"/>
    </xf>
    <xf numFmtId="49" fontId="6" fillId="0" borderId="2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2" fontId="6" fillId="0" borderId="29" xfId="1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" fontId="5" fillId="5" borderId="38" xfId="0" applyNumberFormat="1" applyFont="1" applyFill="1" applyBorder="1" applyAlignment="1" applyProtection="1">
      <alignment vertical="center"/>
      <protection locked="0"/>
    </xf>
    <xf numFmtId="4" fontId="5" fillId="5" borderId="39" xfId="0" applyNumberFormat="1" applyFont="1" applyFill="1" applyBorder="1" applyAlignment="1" applyProtection="1">
      <alignment vertical="center"/>
      <protection locked="0"/>
    </xf>
    <xf numFmtId="2" fontId="6" fillId="0" borderId="23" xfId="1" applyNumberFormat="1" applyFont="1" applyFill="1" applyBorder="1" applyAlignment="1">
      <alignment horizontal="center" vertical="center"/>
    </xf>
    <xf numFmtId="2" fontId="6" fillId="0" borderId="2" xfId="1" applyNumberFormat="1" applyFont="1" applyFill="1" applyBorder="1" applyAlignment="1">
      <alignment horizontal="center" vertical="center"/>
    </xf>
    <xf numFmtId="167" fontId="6" fillId="0" borderId="28" xfId="1" applyNumberFormat="1" applyFont="1" applyFill="1" applyBorder="1" applyAlignment="1">
      <alignment horizontal="center" vertical="center"/>
    </xf>
    <xf numFmtId="2" fontId="6" fillId="0" borderId="36" xfId="1" applyNumberFormat="1" applyFont="1" applyFill="1" applyBorder="1" applyAlignment="1">
      <alignment horizontal="center" vertical="center"/>
    </xf>
    <xf numFmtId="2" fontId="6" fillId="0" borderId="5" xfId="1" applyNumberFormat="1" applyFont="1" applyFill="1" applyBorder="1" applyAlignment="1">
      <alignment horizontal="center" vertical="center"/>
    </xf>
    <xf numFmtId="2" fontId="6" fillId="0" borderId="41" xfId="1" applyNumberFormat="1" applyFont="1" applyFill="1" applyBorder="1" applyAlignment="1">
      <alignment horizontal="center" vertical="center"/>
    </xf>
    <xf numFmtId="2" fontId="5" fillId="0" borderId="50" xfId="1" applyNumberFormat="1" applyFill="1" applyBorder="1" applyAlignment="1">
      <alignment horizontal="center" vertical="center"/>
    </xf>
    <xf numFmtId="4" fontId="16" fillId="0" borderId="3" xfId="0" applyNumberFormat="1" applyFont="1" applyFill="1" applyBorder="1" applyAlignment="1">
      <alignment vertical="center"/>
    </xf>
    <xf numFmtId="4" fontId="17" fillId="0" borderId="37" xfId="0" applyNumberFormat="1" applyFont="1" applyFill="1" applyBorder="1" applyAlignment="1">
      <alignment vertical="center"/>
    </xf>
    <xf numFmtId="4" fontId="6" fillId="0" borderId="3" xfId="1" applyNumberFormat="1" applyFont="1" applyFill="1" applyBorder="1" applyAlignment="1">
      <alignment vertical="center"/>
    </xf>
    <xf numFmtId="2" fontId="5" fillId="0" borderId="29" xfId="1" applyNumberFormat="1" applyFill="1" applyBorder="1" applyAlignment="1">
      <alignment horizontal="center" vertical="center"/>
    </xf>
    <xf numFmtId="2" fontId="5" fillId="0" borderId="46" xfId="1" applyNumberFormat="1" applyFill="1" applyBorder="1" applyAlignment="1">
      <alignment horizontal="center" vertical="center"/>
    </xf>
    <xf numFmtId="2" fontId="5" fillId="0" borderId="6" xfId="1" applyNumberFormat="1" applyFill="1" applyBorder="1" applyAlignment="1">
      <alignment horizontal="center" vertical="center"/>
    </xf>
    <xf numFmtId="4" fontId="6" fillId="0" borderId="65" xfId="1" applyNumberFormat="1" applyFont="1" applyFill="1" applyBorder="1" applyAlignment="1">
      <alignment vertical="center"/>
    </xf>
    <xf numFmtId="49" fontId="6" fillId="0" borderId="5" xfId="0" applyNumberFormat="1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vertical="center" wrapText="1"/>
    </xf>
    <xf numFmtId="0" fontId="16" fillId="0" borderId="27" xfId="0" applyFont="1" applyFill="1" applyBorder="1" applyAlignment="1">
      <alignment horizontal="center" vertical="center"/>
    </xf>
    <xf numFmtId="49" fontId="6" fillId="0" borderId="36" xfId="0" applyNumberFormat="1" applyFont="1" applyFill="1" applyBorder="1" applyAlignment="1">
      <alignment horizontal="center" vertical="center"/>
    </xf>
    <xf numFmtId="0" fontId="11" fillId="0" borderId="37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53" xfId="1" applyFont="1" applyFill="1" applyBorder="1" applyAlignment="1">
      <alignment vertical="center" wrapText="1"/>
    </xf>
    <xf numFmtId="0" fontId="6" fillId="0" borderId="44" xfId="1" applyFont="1" applyFill="1" applyBorder="1" applyAlignment="1">
      <alignment vertical="center"/>
    </xf>
    <xf numFmtId="4" fontId="16" fillId="0" borderId="65" xfId="0" applyNumberFormat="1" applyFont="1" applyFill="1" applyBorder="1" applyAlignment="1">
      <alignment vertical="center"/>
    </xf>
    <xf numFmtId="4" fontId="17" fillId="0" borderId="53" xfId="0" applyNumberFormat="1" applyFont="1" applyFill="1" applyBorder="1" applyAlignment="1">
      <alignment vertical="center"/>
    </xf>
    <xf numFmtId="4" fontId="5" fillId="0" borderId="61" xfId="1" applyNumberFormat="1" applyFill="1" applyBorder="1" applyAlignment="1">
      <alignment vertical="center"/>
    </xf>
    <xf numFmtId="4" fontId="5" fillId="0" borderId="26" xfId="1" applyNumberFormat="1" applyFill="1" applyBorder="1" applyAlignment="1">
      <alignment vertical="center"/>
    </xf>
    <xf numFmtId="2" fontId="5" fillId="0" borderId="39" xfId="1" applyNumberFormat="1" applyFill="1" applyBorder="1" applyAlignment="1">
      <alignment horizontal="center" vertical="center"/>
    </xf>
    <xf numFmtId="2" fontId="6" fillId="0" borderId="39" xfId="1" applyNumberFormat="1" applyFont="1" applyFill="1" applyBorder="1" applyAlignment="1">
      <alignment horizontal="center" vertical="center"/>
    </xf>
    <xf numFmtId="2" fontId="5" fillId="0" borderId="40" xfId="1" applyNumberFormat="1" applyFill="1" applyBorder="1" applyAlignment="1">
      <alignment horizontal="center" vertical="center"/>
    </xf>
    <xf numFmtId="2" fontId="5" fillId="0" borderId="82" xfId="1" applyNumberFormat="1" applyFill="1" applyBorder="1" applyAlignment="1">
      <alignment horizontal="center" vertical="center"/>
    </xf>
    <xf numFmtId="2" fontId="5" fillId="0" borderId="84" xfId="1" applyNumberFormat="1" applyFill="1" applyBorder="1" applyAlignment="1">
      <alignment horizontal="center" vertical="center"/>
    </xf>
    <xf numFmtId="2" fontId="6" fillId="0" borderId="22" xfId="1" applyNumberFormat="1" applyFont="1" applyFill="1" applyBorder="1" applyAlignment="1">
      <alignment horizontal="center" vertical="center"/>
    </xf>
    <xf numFmtId="2" fontId="6" fillId="0" borderId="32" xfId="1" applyNumberFormat="1" applyFont="1" applyFill="1" applyBorder="1" applyAlignment="1">
      <alignment horizontal="center" vertical="center"/>
    </xf>
    <xf numFmtId="49" fontId="20" fillId="0" borderId="3" xfId="0" applyNumberFormat="1" applyFont="1" applyBorder="1" applyAlignment="1">
      <alignment horizontal="centerContinuous" vertical="center"/>
    </xf>
    <xf numFmtId="0" fontId="5" fillId="0" borderId="26" xfId="0" applyFont="1" applyBorder="1" applyAlignment="1">
      <alignment horizontal="centerContinuous" vertical="center"/>
    </xf>
    <xf numFmtId="0" fontId="5" fillId="0" borderId="37" xfId="0" applyFont="1" applyBorder="1" applyAlignment="1">
      <alignment horizontal="centerContinuous" vertical="center"/>
    </xf>
    <xf numFmtId="2" fontId="5" fillId="0" borderId="39" xfId="1" applyNumberFormat="1" applyBorder="1" applyAlignment="1">
      <alignment horizontal="center" vertical="center"/>
    </xf>
    <xf numFmtId="2" fontId="5" fillId="0" borderId="80" xfId="1" applyNumberFormat="1" applyBorder="1" applyAlignment="1">
      <alignment horizontal="center" vertical="center"/>
    </xf>
    <xf numFmtId="2" fontId="5" fillId="0" borderId="23" xfId="1" applyNumberFormat="1" applyBorder="1" applyAlignment="1">
      <alignment horizontal="center" vertical="center"/>
    </xf>
    <xf numFmtId="2" fontId="5" fillId="0" borderId="81" xfId="1" applyNumberFormat="1" applyBorder="1" applyAlignment="1">
      <alignment horizontal="center" vertical="center"/>
    </xf>
    <xf numFmtId="167" fontId="5" fillId="0" borderId="82" xfId="1" applyNumberFormat="1" applyBorder="1" applyAlignment="1">
      <alignment horizontal="center" vertical="center"/>
    </xf>
    <xf numFmtId="2" fontId="5" fillId="0" borderId="79" xfId="1" applyNumberFormat="1" applyBorder="1" applyAlignment="1">
      <alignment horizontal="center" vertical="center"/>
    </xf>
    <xf numFmtId="2" fontId="5" fillId="0" borderId="43" xfId="1" applyNumberFormat="1" applyBorder="1" applyAlignment="1">
      <alignment horizontal="center" vertical="center"/>
    </xf>
    <xf numFmtId="0" fontId="5" fillId="0" borderId="32" xfId="1" applyBorder="1" applyAlignment="1">
      <alignment horizontal="center" vertical="center"/>
    </xf>
    <xf numFmtId="2" fontId="5" fillId="0" borderId="35" xfId="1" applyNumberFormat="1" applyBorder="1" applyAlignment="1">
      <alignment horizontal="center" vertical="center"/>
    </xf>
    <xf numFmtId="2" fontId="5" fillId="0" borderId="30" xfId="1" applyNumberFormat="1" applyBorder="1" applyAlignment="1">
      <alignment horizontal="center" vertical="center"/>
    </xf>
    <xf numFmtId="167" fontId="5" fillId="0" borderId="32" xfId="1" applyNumberFormat="1" applyBorder="1" applyAlignment="1">
      <alignment horizontal="center" vertical="center"/>
    </xf>
    <xf numFmtId="2" fontId="5" fillId="0" borderId="83" xfId="1" applyNumberFormat="1" applyBorder="1" applyAlignment="1">
      <alignment horizontal="center" vertical="center"/>
    </xf>
    <xf numFmtId="167" fontId="5" fillId="0" borderId="84" xfId="1" applyNumberFormat="1" applyBorder="1" applyAlignment="1">
      <alignment horizontal="center" vertical="center"/>
    </xf>
    <xf numFmtId="2" fontId="5" fillId="0" borderId="25" xfId="1" applyNumberFormat="1" applyBorder="1" applyAlignment="1">
      <alignment horizontal="center" vertical="center"/>
    </xf>
    <xf numFmtId="2" fontId="5" fillId="0" borderId="29" xfId="1" applyNumberFormat="1" applyBorder="1" applyAlignment="1">
      <alignment horizontal="center" vertical="center"/>
    </xf>
    <xf numFmtId="2" fontId="5" fillId="0" borderId="22" xfId="1" applyNumberFormat="1" applyBorder="1" applyAlignment="1">
      <alignment horizontal="center" vertical="center"/>
    </xf>
    <xf numFmtId="2" fontId="5" fillId="0" borderId="43" xfId="1" quotePrefix="1" applyNumberFormat="1" applyBorder="1" applyAlignment="1">
      <alignment horizontal="center" vertical="center"/>
    </xf>
    <xf numFmtId="2" fontId="5" fillId="0" borderId="86" xfId="1" applyNumberFormat="1" applyBorder="1" applyAlignment="1">
      <alignment horizontal="center" vertical="center"/>
    </xf>
    <xf numFmtId="0" fontId="5" fillId="8" borderId="0" xfId="0" applyFont="1" applyFill="1" applyBorder="1" applyAlignment="1">
      <alignment horizontal="center" vertical="center"/>
    </xf>
    <xf numFmtId="0" fontId="14" fillId="7" borderId="0" xfId="1" applyFont="1" applyFill="1" applyBorder="1" applyAlignment="1">
      <alignment vertical="center"/>
    </xf>
    <xf numFmtId="0" fontId="6" fillId="7" borderId="0" xfId="1" applyFont="1" applyFill="1" applyBorder="1" applyAlignment="1">
      <alignment horizontal="centerContinuous" vertical="center"/>
    </xf>
    <xf numFmtId="0" fontId="5" fillId="7" borderId="0" xfId="1" applyFill="1" applyBorder="1" applyAlignment="1">
      <alignment horizontal="centerContinuous" vertical="center"/>
    </xf>
    <xf numFmtId="0" fontId="5" fillId="7" borderId="0" xfId="1" applyFill="1" applyBorder="1" applyAlignment="1">
      <alignment horizontal="left" vertical="center"/>
    </xf>
    <xf numFmtId="0" fontId="18" fillId="9" borderId="0" xfId="1" applyFont="1" applyFill="1" applyBorder="1" applyAlignment="1">
      <alignment horizontal="center" vertical="center"/>
    </xf>
    <xf numFmtId="0" fontId="18" fillId="9" borderId="0" xfId="1" applyFont="1" applyFill="1" applyBorder="1" applyAlignment="1" applyProtection="1">
      <alignment horizontal="centerContinuous" vertical="center"/>
      <protection locked="0"/>
    </xf>
    <xf numFmtId="0" fontId="5" fillId="7" borderId="0" xfId="1" applyFill="1" applyBorder="1" applyAlignment="1">
      <alignment vertical="center"/>
    </xf>
    <xf numFmtId="0" fontId="6" fillId="7" borderId="0" xfId="1" applyFont="1" applyFill="1" applyBorder="1" applyAlignment="1">
      <alignment vertical="center"/>
    </xf>
    <xf numFmtId="0" fontId="5" fillId="7" borderId="0" xfId="1" applyFill="1" applyBorder="1" applyAlignment="1">
      <alignment horizontal="center" vertical="center"/>
    </xf>
    <xf numFmtId="0" fontId="6" fillId="8" borderId="0" xfId="1" applyFont="1" applyFill="1" applyBorder="1" applyAlignment="1">
      <alignment horizontal="right" vertical="center"/>
    </xf>
    <xf numFmtId="0" fontId="6" fillId="8" borderId="0" xfId="1" applyFont="1" applyFill="1" applyBorder="1" applyAlignment="1" applyProtection="1">
      <alignment vertical="center"/>
      <protection locked="0"/>
    </xf>
    <xf numFmtId="0" fontId="5" fillId="0" borderId="26" xfId="0" applyFont="1" applyBorder="1" applyAlignment="1">
      <alignment vertical="center"/>
    </xf>
    <xf numFmtId="0" fontId="5" fillId="0" borderId="26" xfId="1" applyBorder="1" applyAlignment="1">
      <alignment vertical="center"/>
    </xf>
    <xf numFmtId="2" fontId="5" fillId="0" borderId="26" xfId="0" applyNumberFormat="1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4" fontId="5" fillId="5" borderId="2" xfId="0" applyNumberFormat="1" applyFont="1" applyFill="1" applyBorder="1" applyAlignment="1" applyProtection="1">
      <alignment vertical="center"/>
      <protection locked="0"/>
    </xf>
    <xf numFmtId="4" fontId="5" fillId="5" borderId="5" xfId="0" applyNumberFormat="1" applyFont="1" applyFill="1" applyBorder="1" applyAlignment="1" applyProtection="1">
      <alignment vertical="center"/>
      <protection locked="0"/>
    </xf>
    <xf numFmtId="4" fontId="5" fillId="0" borderId="5" xfId="1" applyNumberFormat="1" applyBorder="1" applyAlignment="1">
      <alignment vertical="center"/>
    </xf>
    <xf numFmtId="4" fontId="5" fillId="0" borderId="28" xfId="1" applyNumberFormat="1" applyBorder="1" applyAlignment="1">
      <alignment vertical="center"/>
    </xf>
    <xf numFmtId="4" fontId="5" fillId="5" borderId="35" xfId="0" applyNumberFormat="1" applyFont="1" applyFill="1" applyBorder="1" applyAlignment="1" applyProtection="1">
      <alignment vertical="center"/>
      <protection locked="0"/>
    </xf>
    <xf numFmtId="4" fontId="5" fillId="0" borderId="46" xfId="1" applyNumberFormat="1" applyBorder="1" applyAlignment="1">
      <alignment vertical="center"/>
    </xf>
    <xf numFmtId="4" fontId="5" fillId="11" borderId="85" xfId="0" applyNumberFormat="1" applyFont="1" applyFill="1" applyBorder="1" applyAlignment="1" applyProtection="1">
      <alignment vertical="center"/>
      <protection locked="0"/>
    </xf>
    <xf numFmtId="4" fontId="5" fillId="5" borderId="22" xfId="0" applyNumberFormat="1" applyFont="1" applyFill="1" applyBorder="1" applyAlignment="1" applyProtection="1">
      <alignment vertical="center"/>
      <protection locked="0"/>
    </xf>
    <xf numFmtId="4" fontId="5" fillId="5" borderId="79" xfId="0" applyNumberFormat="1" applyFont="1" applyFill="1" applyBorder="1" applyAlignment="1" applyProtection="1">
      <alignment vertical="center"/>
      <protection locked="0"/>
    </xf>
    <xf numFmtId="4" fontId="5" fillId="5" borderId="80" xfId="0" applyNumberFormat="1" applyFont="1" applyFill="1" applyBorder="1" applyAlignment="1" applyProtection="1">
      <alignment vertical="center"/>
      <protection locked="0"/>
    </xf>
    <xf numFmtId="4" fontId="5" fillId="0" borderId="30" xfId="0" applyNumberFormat="1" applyFont="1" applyBorder="1" applyAlignment="1">
      <alignment horizontal="center" vertical="center"/>
    </xf>
    <xf numFmtId="4" fontId="5" fillId="0" borderId="22" xfId="0" applyNumberFormat="1" applyFont="1" applyBorder="1" applyAlignment="1" applyProtection="1">
      <alignment vertical="center"/>
      <protection locked="0"/>
    </xf>
    <xf numFmtId="167" fontId="5" fillId="0" borderId="32" xfId="1" quotePrefix="1" applyNumberFormat="1" applyBorder="1" applyAlignment="1">
      <alignment horizontal="center" vertical="center"/>
    </xf>
    <xf numFmtId="4" fontId="5" fillId="0" borderId="2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5" fillId="0" borderId="44" xfId="1" applyBorder="1" applyAlignment="1">
      <alignment vertical="center"/>
    </xf>
    <xf numFmtId="164" fontId="3" fillId="2" borderId="0" xfId="3" applyFont="1" applyFill="1" applyAlignment="1">
      <alignment vertical="center"/>
    </xf>
    <xf numFmtId="0" fontId="4" fillId="0" borderId="0" xfId="0" applyFont="1" applyAlignment="1">
      <alignment vertical="center"/>
    </xf>
    <xf numFmtId="164" fontId="3" fillId="0" borderId="0" xfId="3" applyFont="1" applyFill="1" applyAlignment="1">
      <alignment vertical="center"/>
    </xf>
    <xf numFmtId="0" fontId="5" fillId="2" borderId="30" xfId="0" applyFont="1" applyFill="1" applyBorder="1" applyAlignment="1">
      <alignment horizontal="left" vertical="center"/>
    </xf>
    <xf numFmtId="0" fontId="5" fillId="0" borderId="6" xfId="2" applyFont="1" applyBorder="1" applyAlignment="1">
      <alignment horizontal="center" vertical="center"/>
    </xf>
    <xf numFmtId="0" fontId="5" fillId="0" borderId="80" xfId="2" applyFont="1" applyBorder="1" applyAlignment="1">
      <alignment horizontal="center" vertical="center"/>
    </xf>
    <xf numFmtId="0" fontId="5" fillId="0" borderId="80" xfId="0" applyFont="1" applyBorder="1" applyAlignment="1">
      <alignment horizontal="center" vertical="center"/>
    </xf>
    <xf numFmtId="0" fontId="5" fillId="0" borderId="77" xfId="1" applyBorder="1" applyAlignment="1">
      <alignment horizontal="left" vertical="center" wrapText="1"/>
    </xf>
    <xf numFmtId="0" fontId="5" fillId="0" borderId="54" xfId="1" applyBorder="1" applyAlignment="1">
      <alignment horizontal="left" vertical="center" wrapText="1"/>
    </xf>
    <xf numFmtId="0" fontId="5" fillId="0" borderId="32" xfId="1" applyBorder="1" applyAlignment="1">
      <alignment horizontal="left" vertical="center" wrapText="1"/>
    </xf>
    <xf numFmtId="0" fontId="5" fillId="0" borderId="82" xfId="1" applyBorder="1" applyAlignment="1">
      <alignment horizontal="left" vertical="center" wrapText="1"/>
    </xf>
    <xf numFmtId="0" fontId="5" fillId="0" borderId="21" xfId="1" applyBorder="1" applyAlignment="1">
      <alignment vertical="center" wrapText="1"/>
    </xf>
    <xf numFmtId="0" fontId="5" fillId="0" borderId="52" xfId="1" applyBorder="1" applyAlignment="1">
      <alignment vertical="center"/>
    </xf>
    <xf numFmtId="0" fontId="5" fillId="0" borderId="8" xfId="1" applyBorder="1" applyAlignment="1">
      <alignment vertical="center"/>
    </xf>
    <xf numFmtId="0" fontId="6" fillId="0" borderId="21" xfId="1" applyFont="1" applyBorder="1" applyAlignment="1">
      <alignment vertical="center" wrapText="1"/>
    </xf>
    <xf numFmtId="0" fontId="5" fillId="0" borderId="24" xfId="1" applyBorder="1" applyAlignment="1">
      <alignment vertical="center"/>
    </xf>
    <xf numFmtId="0" fontId="7" fillId="0" borderId="21" xfId="1" applyFont="1" applyBorder="1" applyAlignment="1">
      <alignment vertical="center" wrapText="1"/>
    </xf>
    <xf numFmtId="164" fontId="5" fillId="0" borderId="0" xfId="3" applyFont="1"/>
    <xf numFmtId="0" fontId="5" fillId="2" borderId="30" xfId="0" quotePrefix="1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2" fontId="5" fillId="0" borderId="45" xfId="1" quotePrefix="1" applyNumberFormat="1" applyBorder="1" applyAlignment="1">
      <alignment horizontal="center" vertical="center"/>
    </xf>
    <xf numFmtId="167" fontId="5" fillId="0" borderId="46" xfId="1" quotePrefix="1" applyNumberFormat="1" applyBorder="1" applyAlignment="1">
      <alignment horizontal="center" vertical="center"/>
    </xf>
    <xf numFmtId="2" fontId="5" fillId="0" borderId="35" xfId="1" quotePrefix="1" applyNumberFormat="1" applyBorder="1" applyAlignment="1">
      <alignment horizontal="center" vertical="center"/>
    </xf>
    <xf numFmtId="2" fontId="6" fillId="0" borderId="29" xfId="1" applyNumberFormat="1" applyFont="1" applyBorder="1" applyAlignment="1">
      <alignment horizontal="center" vertical="center"/>
    </xf>
    <xf numFmtId="2" fontId="5" fillId="0" borderId="30" xfId="1" quotePrefix="1" applyNumberFormat="1" applyBorder="1" applyAlignment="1">
      <alignment horizontal="center" vertical="center"/>
    </xf>
    <xf numFmtId="0" fontId="5" fillId="0" borderId="30" xfId="0" applyFont="1" applyBorder="1" applyAlignment="1">
      <alignment horizontal="left" vertical="center"/>
    </xf>
    <xf numFmtId="0" fontId="5" fillId="0" borderId="30" xfId="0" applyFont="1" applyBorder="1" applyAlignment="1">
      <alignment horizontal="center" vertical="center"/>
    </xf>
    <xf numFmtId="0" fontId="5" fillId="0" borderId="30" xfId="2" applyFont="1" applyBorder="1" applyAlignment="1">
      <alignment horizontal="center" vertical="center"/>
    </xf>
    <xf numFmtId="39" fontId="13" fillId="0" borderId="10" xfId="3" applyNumberFormat="1" applyFont="1" applyFill="1" applyBorder="1" applyAlignment="1" applyProtection="1">
      <alignment horizontal="centerContinuous" vertical="center"/>
    </xf>
    <xf numFmtId="49" fontId="6" fillId="0" borderId="0" xfId="1" applyNumberFormat="1" applyFont="1" applyFill="1" applyBorder="1" applyAlignment="1">
      <alignment vertical="center"/>
    </xf>
    <xf numFmtId="49" fontId="18" fillId="0" borderId="0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vertical="center"/>
    </xf>
    <xf numFmtId="49" fontId="13" fillId="0" borderId="26" xfId="0" applyNumberFormat="1" applyFont="1" applyFill="1" applyBorder="1" applyAlignment="1">
      <alignment horizontal="centerContinuous" vertical="center"/>
    </xf>
    <xf numFmtId="0" fontId="6" fillId="0" borderId="59" xfId="0" applyFont="1" applyFill="1" applyBorder="1" applyAlignment="1" applyProtection="1">
      <alignment horizontal="left" vertical="center"/>
      <protection locked="0"/>
    </xf>
    <xf numFmtId="0" fontId="6" fillId="0" borderId="73" xfId="0" applyFont="1" applyFill="1" applyBorder="1" applyAlignment="1" applyProtection="1">
      <alignment horizontal="left" vertical="center"/>
      <protection locked="0"/>
    </xf>
    <xf numFmtId="0" fontId="6" fillId="0" borderId="56" xfId="0" applyFont="1" applyFill="1" applyBorder="1" applyAlignment="1" applyProtection="1">
      <alignment horizontal="left" vertical="center"/>
      <protection locked="0"/>
    </xf>
    <xf numFmtId="49" fontId="6" fillId="0" borderId="18" xfId="0" applyNumberFormat="1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49" fontId="18" fillId="0" borderId="6" xfId="0" quotePrefix="1" applyNumberFormat="1" applyFont="1" applyFill="1" applyBorder="1" applyAlignment="1" applyProtection="1">
      <alignment horizontal="center" vertical="center"/>
      <protection locked="0"/>
    </xf>
    <xf numFmtId="49" fontId="18" fillId="0" borderId="23" xfId="0" quotePrefix="1" applyNumberFormat="1" applyFont="1" applyFill="1" applyBorder="1" applyAlignment="1" applyProtection="1">
      <alignment horizontal="center" vertical="center"/>
      <protection locked="0"/>
    </xf>
    <xf numFmtId="0" fontId="5" fillId="0" borderId="6" xfId="2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left" vertical="center"/>
    </xf>
    <xf numFmtId="0" fontId="5" fillId="0" borderId="39" xfId="2" applyFont="1" applyBorder="1" applyAlignment="1">
      <alignment horizontal="center" vertical="center"/>
    </xf>
    <xf numFmtId="0" fontId="5" fillId="0" borderId="54" xfId="1" applyBorder="1" applyAlignment="1">
      <alignment vertical="center" wrapText="1"/>
    </xf>
    <xf numFmtId="0" fontId="5" fillId="0" borderId="78" xfId="1" applyBorder="1" applyAlignment="1">
      <alignment vertical="center"/>
    </xf>
    <xf numFmtId="0" fontId="5" fillId="0" borderId="23" xfId="0" applyFont="1" applyBorder="1" applyAlignment="1">
      <alignment horizontal="center" vertical="center"/>
    </xf>
    <xf numFmtId="0" fontId="5" fillId="0" borderId="77" xfId="1" applyBorder="1" applyAlignment="1">
      <alignment vertical="center" wrapText="1"/>
    </xf>
    <xf numFmtId="0" fontId="5" fillId="0" borderId="53" xfId="1" applyBorder="1" applyAlignment="1">
      <alignment horizontal="left" vertical="center" wrapText="1" readingOrder="1"/>
    </xf>
    <xf numFmtId="0" fontId="5" fillId="0" borderId="51" xfId="1" applyBorder="1" applyAlignment="1">
      <alignment horizontal="left" vertical="center" wrapText="1" readingOrder="1"/>
    </xf>
    <xf numFmtId="0" fontId="5" fillId="0" borderId="31" xfId="1" applyBorder="1" applyAlignment="1">
      <alignment vertical="center"/>
    </xf>
    <xf numFmtId="0" fontId="5" fillId="0" borderId="17" xfId="1" applyBorder="1" applyAlignment="1">
      <alignment horizontal="left" vertical="center" wrapText="1" readingOrder="1"/>
    </xf>
    <xf numFmtId="0" fontId="5" fillId="0" borderId="46" xfId="1" applyBorder="1" applyAlignment="1">
      <alignment horizontal="left" vertical="center" wrapText="1"/>
    </xf>
    <xf numFmtId="0" fontId="5" fillId="0" borderId="79" xfId="0" applyFont="1" applyBorder="1" applyAlignment="1">
      <alignment horizontal="center" vertical="center"/>
    </xf>
    <xf numFmtId="0" fontId="5" fillId="0" borderId="25" xfId="0" applyFont="1" applyBorder="1" applyAlignment="1">
      <alignment horizontal="left" vertical="center"/>
    </xf>
    <xf numFmtId="0" fontId="5" fillId="0" borderId="85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53" xfId="1" quotePrefix="1" applyBorder="1" applyAlignment="1">
      <alignment horizontal="left" vertical="center" wrapText="1"/>
    </xf>
    <xf numFmtId="0" fontId="5" fillId="0" borderId="44" xfId="1" quotePrefix="1" applyBorder="1" applyAlignment="1">
      <alignment horizontal="left" vertical="center"/>
    </xf>
    <xf numFmtId="0" fontId="5" fillId="0" borderId="23" xfId="2" applyFont="1" applyBorder="1" applyAlignment="1">
      <alignment horizontal="center" vertical="center"/>
    </xf>
    <xf numFmtId="164" fontId="4" fillId="2" borderId="0" xfId="3" applyFont="1" applyFill="1" applyAlignment="1">
      <alignment vertical="center"/>
    </xf>
    <xf numFmtId="0" fontId="5" fillId="0" borderId="35" xfId="0" applyFont="1" applyFill="1" applyBorder="1" applyAlignment="1">
      <alignment horizontal="left" vertical="center"/>
    </xf>
    <xf numFmtId="0" fontId="5" fillId="0" borderId="51" xfId="1" quotePrefix="1" applyBorder="1" applyAlignment="1">
      <alignment horizontal="left" vertical="center" wrapText="1"/>
    </xf>
    <xf numFmtId="0" fontId="5" fillId="0" borderId="31" xfId="1" quotePrefix="1" applyBorder="1" applyAlignment="1">
      <alignment horizontal="left" vertical="center"/>
    </xf>
    <xf numFmtId="0" fontId="5" fillId="0" borderId="30" xfId="0" applyFont="1" applyFill="1" applyBorder="1" applyAlignment="1">
      <alignment horizontal="left" vertical="center"/>
    </xf>
    <xf numFmtId="0" fontId="5" fillId="0" borderId="51" xfId="1" applyBorder="1" applyAlignment="1">
      <alignment vertical="center" wrapText="1"/>
    </xf>
    <xf numFmtId="2" fontId="5" fillId="0" borderId="45" xfId="1" applyNumberFormat="1" applyBorder="1" applyAlignment="1">
      <alignment horizontal="center" vertical="center"/>
    </xf>
    <xf numFmtId="167" fontId="5" fillId="0" borderId="46" xfId="1" applyNumberFormat="1" applyBorder="1" applyAlignment="1">
      <alignment horizontal="center" vertical="center"/>
    </xf>
    <xf numFmtId="0" fontId="5" fillId="0" borderId="30" xfId="0" quotePrefix="1" applyFont="1" applyFill="1" applyBorder="1" applyAlignment="1">
      <alignment horizontal="left" vertical="center"/>
    </xf>
    <xf numFmtId="2" fontId="5" fillId="0" borderId="6" xfId="1" quotePrefix="1" applyNumberFormat="1" applyBorder="1" applyAlignment="1">
      <alignment horizontal="center" vertical="center"/>
    </xf>
    <xf numFmtId="0" fontId="5" fillId="4" borderId="44" xfId="1" applyFill="1" applyBorder="1" applyAlignment="1">
      <alignment vertical="center"/>
    </xf>
    <xf numFmtId="0" fontId="5" fillId="0" borderId="38" xfId="2" applyFont="1" applyBorder="1" applyAlignment="1">
      <alignment horizontal="center" vertical="center"/>
    </xf>
    <xf numFmtId="2" fontId="5" fillId="0" borderId="42" xfId="1" applyNumberFormat="1" applyBorder="1" applyAlignment="1">
      <alignment horizontal="center" vertical="center"/>
    </xf>
    <xf numFmtId="167" fontId="5" fillId="0" borderId="40" xfId="1" quotePrefix="1" applyNumberFormat="1" applyBorder="1" applyAlignment="1">
      <alignment horizontal="center" vertical="center"/>
    </xf>
    <xf numFmtId="2" fontId="5" fillId="0" borderId="38" xfId="1" applyNumberFormat="1" applyBorder="1" applyAlignment="1">
      <alignment horizontal="center" vertical="center"/>
    </xf>
    <xf numFmtId="0" fontId="5" fillId="0" borderId="79" xfId="2" applyFont="1" applyBorder="1" applyAlignment="1">
      <alignment horizontal="left" vertical="center"/>
    </xf>
    <xf numFmtId="0" fontId="5" fillId="0" borderId="25" xfId="2" applyFont="1" applyBorder="1" applyAlignment="1">
      <alignment horizontal="left" vertical="center"/>
    </xf>
    <xf numFmtId="2" fontId="5" fillId="0" borderId="25" xfId="1" quotePrefix="1" applyNumberFormat="1" applyBorder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167" fontId="5" fillId="0" borderId="162" xfId="0" applyNumberFormat="1" applyFont="1" applyBorder="1" applyAlignment="1">
      <alignment horizontal="center" vertical="center"/>
    </xf>
    <xf numFmtId="0" fontId="5" fillId="0" borderId="30" xfId="2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167" fontId="5" fillId="0" borderId="40" xfId="1" applyNumberFormat="1" applyBorder="1" applyAlignment="1">
      <alignment horizontal="center" vertical="center"/>
    </xf>
    <xf numFmtId="2" fontId="5" fillId="0" borderId="163" xfId="1" applyNumberFormat="1" applyBorder="1" applyAlignment="1">
      <alignment horizontal="center" vertical="center"/>
    </xf>
    <xf numFmtId="0" fontId="5" fillId="0" borderId="79" xfId="0" applyFont="1" applyBorder="1" applyAlignment="1">
      <alignment horizontal="left" vertical="center"/>
    </xf>
    <xf numFmtId="0" fontId="5" fillId="0" borderId="35" xfId="0" applyFont="1" applyBorder="1" applyAlignment="1">
      <alignment horizontal="left" vertical="center"/>
    </xf>
    <xf numFmtId="0" fontId="5" fillId="0" borderId="23" xfId="1" applyBorder="1" applyAlignment="1">
      <alignment horizontal="center" vertical="center" wrapText="1" readingOrder="1"/>
    </xf>
    <xf numFmtId="0" fontId="5" fillId="0" borderId="85" xfId="0" applyFont="1" applyBorder="1" applyAlignment="1">
      <alignment horizontal="left" vertical="center"/>
    </xf>
    <xf numFmtId="2" fontId="5" fillId="0" borderId="81" xfId="1" applyNumberFormat="1" applyBorder="1" applyAlignment="1">
      <alignment horizontal="center" vertical="center" wrapText="1"/>
    </xf>
    <xf numFmtId="0" fontId="5" fillId="2" borderId="44" xfId="1" applyFill="1" applyBorder="1" applyAlignment="1">
      <alignment vertical="center"/>
    </xf>
    <xf numFmtId="0" fontId="18" fillId="0" borderId="30" xfId="0" quotePrefix="1" applyFont="1" applyBorder="1" applyAlignment="1">
      <alignment horizontal="left" vertical="center"/>
    </xf>
    <xf numFmtId="0" fontId="6" fillId="0" borderId="44" xfId="1" applyFont="1" applyBorder="1" applyAlignment="1">
      <alignment vertical="center"/>
    </xf>
    <xf numFmtId="4" fontId="16" fillId="0" borderId="61" xfId="0" applyNumberFormat="1" applyFont="1" applyBorder="1" applyAlignment="1">
      <alignment vertical="center"/>
    </xf>
    <xf numFmtId="49" fontId="18" fillId="0" borderId="30" xfId="0" quotePrefix="1" applyNumberFormat="1" applyFont="1" applyBorder="1" applyAlignment="1" applyProtection="1">
      <alignment horizontal="left" vertical="center"/>
      <protection locked="0"/>
    </xf>
    <xf numFmtId="0" fontId="5" fillId="7" borderId="29" xfId="0" applyFont="1" applyFill="1" applyBorder="1" applyAlignment="1" applyProtection="1">
      <alignment horizontal="left" vertical="center" wrapText="1"/>
      <protection locked="0"/>
    </xf>
    <xf numFmtId="49" fontId="6" fillId="2" borderId="2" xfId="0" applyNumberFormat="1" applyFont="1" applyFill="1" applyBorder="1" applyAlignment="1">
      <alignment horizontal="center" vertical="center"/>
    </xf>
    <xf numFmtId="4" fontId="16" fillId="0" borderId="26" xfId="0" applyNumberFormat="1" applyFont="1" applyBorder="1" applyAlignment="1">
      <alignment vertical="center"/>
    </xf>
    <xf numFmtId="0" fontId="5" fillId="0" borderId="0" xfId="6" applyFont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6" fillId="0" borderId="3" xfId="6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26" xfId="6" applyFont="1" applyBorder="1" applyAlignment="1">
      <alignment horizontal="center" vertical="center" wrapText="1"/>
    </xf>
    <xf numFmtId="0" fontId="6" fillId="0" borderId="37" xfId="6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6" fillId="0" borderId="157" xfId="6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24" fillId="0" borderId="3" xfId="6" applyFont="1" applyBorder="1" applyAlignment="1">
      <alignment horizontal="center" vertical="center" wrapText="1"/>
    </xf>
    <xf numFmtId="0" fontId="27" fillId="0" borderId="157" xfId="6" applyFont="1" applyBorder="1" applyAlignment="1">
      <alignment horizontal="center" vertical="center" wrapText="1"/>
    </xf>
    <xf numFmtId="0" fontId="27" fillId="0" borderId="4" xfId="6" applyFont="1" applyBorder="1" applyAlignment="1">
      <alignment horizontal="center" vertical="center" wrapText="1"/>
    </xf>
    <xf numFmtId="0" fontId="0" fillId="0" borderId="24" xfId="0" applyBorder="1" applyAlignment="1">
      <alignment vertical="center" wrapText="1"/>
    </xf>
    <xf numFmtId="0" fontId="6" fillId="0" borderId="3" xfId="6" quotePrefix="1" applyFont="1" applyBorder="1" applyAlignment="1">
      <alignment horizontal="left" vertical="center"/>
    </xf>
    <xf numFmtId="0" fontId="6" fillId="0" borderId="26" xfId="6" applyFont="1" applyBorder="1" applyAlignment="1">
      <alignment horizontal="left" vertical="center"/>
    </xf>
    <xf numFmtId="0" fontId="4" fillId="0" borderId="37" xfId="4" applyBorder="1" applyAlignment="1">
      <alignment horizontal="left" vertical="center"/>
    </xf>
    <xf numFmtId="0" fontId="6" fillId="0" borderId="12" xfId="6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6" fillId="0" borderId="157" xfId="6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6" fillId="4" borderId="159" xfId="1" applyFont="1" applyFill="1" applyBorder="1" applyAlignment="1">
      <alignment vertical="center" wrapText="1"/>
    </xf>
    <xf numFmtId="0" fontId="0" fillId="0" borderId="160" xfId="0" applyBorder="1" applyAlignment="1">
      <alignment vertical="center" wrapText="1"/>
    </xf>
    <xf numFmtId="0" fontId="0" fillId="0" borderId="161" xfId="0" applyBorder="1" applyAlignment="1">
      <alignment vertical="center" wrapText="1"/>
    </xf>
    <xf numFmtId="0" fontId="6" fillId="4" borderId="13" xfId="1" applyFont="1" applyFill="1" applyBorder="1" applyAlignment="1">
      <alignment vertical="center" textRotation="90"/>
    </xf>
    <xf numFmtId="0" fontId="6" fillId="0" borderId="17" xfId="0" applyFont="1" applyBorder="1" applyAlignment="1">
      <alignment vertical="center"/>
    </xf>
    <xf numFmtId="2" fontId="6" fillId="0" borderId="16" xfId="0" applyNumberFormat="1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2" fontId="6" fillId="0" borderId="3" xfId="0" applyNumberFormat="1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6" fillId="8" borderId="10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</cellXfs>
  <cellStyles count="20">
    <cellStyle name="Normal" xfId="0" builtinId="0"/>
    <cellStyle name="Normal 2" xfId="4" xr:uid="{00000000-0005-0000-0000-000001000000}"/>
    <cellStyle name="Normal 2 2" xfId="19" xr:uid="{B18E8FE7-03EF-40FF-A2D0-D601737ACCBF}"/>
    <cellStyle name="Normal 3" xfId="7" xr:uid="{00000000-0005-0000-0000-000002000000}"/>
    <cellStyle name="Normal 3 2" xfId="6" xr:uid="{00000000-0005-0000-0000-000003000000}"/>
    <cellStyle name="Normal 3 3" xfId="13" xr:uid="{00000000-0005-0000-0000-000004000000}"/>
    <cellStyle name="Normal 3 4" xfId="10" xr:uid="{00000000-0005-0000-0000-000005000000}"/>
    <cellStyle name="Normal 4" xfId="17" xr:uid="{00000000-0005-0000-0000-000006000000}"/>
    <cellStyle name="Normal 5" xfId="18" xr:uid="{5F1E6246-7B02-47A6-94B6-D45C990A0836}"/>
    <cellStyle name="Normal_ORÇAMENTO" xfId="1" xr:uid="{00000000-0005-0000-0000-000007000000}"/>
    <cellStyle name="Normal_ORÇAMENTO ALTERNATIVA 1 DER Junho2001" xfId="2" xr:uid="{00000000-0005-0000-0000-000008000000}"/>
    <cellStyle name="Porcentagem 2" xfId="5" xr:uid="{00000000-0005-0000-0000-00000A000000}"/>
    <cellStyle name="Porcentagem 3" xfId="16" xr:uid="{00000000-0005-0000-0000-00000B000000}"/>
    <cellStyle name="Vírgula" xfId="3" builtinId="3"/>
    <cellStyle name="Vírgula 2" xfId="8" xr:uid="{00000000-0005-0000-0000-00000D000000}"/>
    <cellStyle name="Vírgula 2 2" xfId="14" xr:uid="{00000000-0005-0000-0000-00000E000000}"/>
    <cellStyle name="Vírgula 2 3" xfId="11" xr:uid="{00000000-0005-0000-0000-00000F000000}"/>
    <cellStyle name="Vírgula 3" xfId="12" xr:uid="{00000000-0005-0000-0000-000010000000}"/>
    <cellStyle name="Vírgula 4" xfId="9" xr:uid="{00000000-0005-0000-0000-000011000000}"/>
    <cellStyle name="Vírgula 5" xfId="15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53340</xdr:colOff>
      <xdr:row>14</xdr:row>
      <xdr:rowOff>99060</xdr:rowOff>
    </xdr:from>
    <xdr:to>
      <xdr:col>4</xdr:col>
      <xdr:colOff>541020</xdr:colOff>
      <xdr:row>14</xdr:row>
      <xdr:rowOff>99060</xdr:rowOff>
    </xdr:to>
    <xdr:cxnSp macro="">
      <xdr:nvCxnSpPr>
        <xdr:cNvPr id="2" name="Conector de Seta Reta 1">
          <a:extLst>
            <a:ext uri="{FF2B5EF4-FFF2-40B4-BE49-F238E27FC236}">
              <a16:creationId xmlns:a16="http://schemas.microsoft.com/office/drawing/2014/main" id="{B40D4D78-E6D1-4CF4-AFC5-A5FC4F3E5AB8}"/>
            </a:ext>
          </a:extLst>
        </xdr:cNvPr>
        <xdr:cNvCxnSpPr/>
      </xdr:nvCxnSpPr>
      <xdr:spPr bwMode="auto">
        <a:xfrm flipH="1">
          <a:off x="6560820" y="3870960"/>
          <a:ext cx="487680" cy="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53340</xdr:colOff>
      <xdr:row>14</xdr:row>
      <xdr:rowOff>99060</xdr:rowOff>
    </xdr:from>
    <xdr:to>
      <xdr:col>4</xdr:col>
      <xdr:colOff>541020</xdr:colOff>
      <xdr:row>14</xdr:row>
      <xdr:rowOff>99060</xdr:rowOff>
    </xdr:to>
    <xdr:cxnSp macro="">
      <xdr:nvCxnSpPr>
        <xdr:cNvPr id="3" name="Conector de Seta Reta 2">
          <a:extLst>
            <a:ext uri="{FF2B5EF4-FFF2-40B4-BE49-F238E27FC236}">
              <a16:creationId xmlns:a16="http://schemas.microsoft.com/office/drawing/2014/main" id="{426D9AF2-E112-4C69-B4EA-CEC0C4D08DC0}"/>
            </a:ext>
          </a:extLst>
        </xdr:cNvPr>
        <xdr:cNvCxnSpPr/>
      </xdr:nvCxnSpPr>
      <xdr:spPr bwMode="auto">
        <a:xfrm flipH="1">
          <a:off x="6560820" y="3870960"/>
          <a:ext cx="487680" cy="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ruy\_01%20Reequil&#237;brio%20-%20arquivos%20revisados\Realinamento%20SET%202017-INCC-mensal%20ANP-DNIT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C"/>
      <sheetName val="ANP após 2015"/>
      <sheetName val="percentuais por insumo"/>
      <sheetName val="TESTE"/>
      <sheetName val="proposta"/>
      <sheetName val="2017 SEM"/>
      <sheetName val="R1"/>
      <sheetName val="R2"/>
      <sheetName val="R3"/>
      <sheetName val="R4"/>
      <sheetName val="R5"/>
      <sheetName val="R6"/>
      <sheetName val="R7"/>
      <sheetName val="R8 saldo"/>
      <sheetName val="SOMA"/>
      <sheetName val="resumo"/>
      <sheetName val="Composição TCPOWe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3"/>
  <sheetViews>
    <sheetView workbookViewId="0">
      <selection activeCell="C36" sqref="C36"/>
    </sheetView>
  </sheetViews>
  <sheetFormatPr defaultColWidth="9.33203125" defaultRowHeight="15" x14ac:dyDescent="0.25"/>
  <cols>
    <col min="1" max="1" width="9.33203125" style="64"/>
    <col min="2" max="2" width="24.1640625" style="64" customWidth="1"/>
    <col min="3" max="4" width="31.1640625" style="64" customWidth="1"/>
    <col min="5" max="10" width="9.33203125" style="64"/>
    <col min="11" max="11" width="12" style="64" customWidth="1"/>
    <col min="12" max="16384" width="9.33203125" style="64"/>
  </cols>
  <sheetData>
    <row r="1" spans="1:11" x14ac:dyDescent="0.25">
      <c r="A1" s="61" t="s">
        <v>829</v>
      </c>
      <c r="B1" s="62" t="s">
        <v>830</v>
      </c>
      <c r="C1" s="62"/>
      <c r="D1" s="62"/>
      <c r="E1" s="62"/>
      <c r="F1" s="62"/>
      <c r="G1" s="62"/>
      <c r="H1" s="62"/>
      <c r="I1" s="62"/>
      <c r="J1" s="62"/>
      <c r="K1" s="63"/>
    </row>
    <row r="2" spans="1:11" ht="21" x14ac:dyDescent="0.35">
      <c r="A2" s="65"/>
      <c r="B2" s="66" t="s">
        <v>831</v>
      </c>
      <c r="C2" s="66"/>
      <c r="D2" s="66"/>
      <c r="E2" s="67"/>
      <c r="F2" s="67"/>
      <c r="G2" s="67"/>
      <c r="H2" s="67"/>
      <c r="I2" s="67"/>
      <c r="J2" s="67"/>
      <c r="K2" s="68"/>
    </row>
    <row r="3" spans="1:11" ht="13.9" customHeight="1" x14ac:dyDescent="0.25">
      <c r="A3" s="65"/>
      <c r="B3" s="69" t="s">
        <v>832</v>
      </c>
      <c r="C3" s="70" t="s">
        <v>833</v>
      </c>
      <c r="D3" s="71"/>
      <c r="E3" s="67"/>
      <c r="F3" s="67"/>
      <c r="G3" s="67"/>
      <c r="H3" s="67"/>
      <c r="I3" s="67"/>
      <c r="J3" s="67"/>
      <c r="K3" s="68"/>
    </row>
    <row r="4" spans="1:11" ht="13.9" customHeight="1" x14ac:dyDescent="0.25">
      <c r="A4" s="65"/>
      <c r="B4" s="72" t="s">
        <v>834</v>
      </c>
      <c r="C4" s="73" t="s">
        <v>835</v>
      </c>
      <c r="D4" s="73" t="s">
        <v>836</v>
      </c>
      <c r="E4" s="67"/>
      <c r="F4" s="67"/>
      <c r="G4" s="67"/>
      <c r="H4" s="67"/>
      <c r="I4" s="67"/>
      <c r="J4" s="67"/>
      <c r="K4" s="68"/>
    </row>
    <row r="5" spans="1:11" ht="13.15" customHeight="1" x14ac:dyDescent="0.25">
      <c r="A5" s="65"/>
      <c r="B5" s="73" t="s">
        <v>837</v>
      </c>
      <c r="C5" s="73" t="s">
        <v>838</v>
      </c>
      <c r="D5" s="73" t="s">
        <v>839</v>
      </c>
      <c r="E5" s="67"/>
      <c r="F5" s="67"/>
      <c r="G5" s="67"/>
      <c r="H5" s="67"/>
      <c r="I5" s="67"/>
      <c r="J5" s="67"/>
      <c r="K5" s="68"/>
    </row>
    <row r="6" spans="1:11" ht="13.15" customHeight="1" x14ac:dyDescent="0.25">
      <c r="A6" s="65"/>
      <c r="B6" s="73" t="s">
        <v>840</v>
      </c>
      <c r="C6" s="73" t="s">
        <v>839</v>
      </c>
      <c r="D6" s="73" t="s">
        <v>841</v>
      </c>
      <c r="E6" s="67"/>
      <c r="F6" s="67"/>
      <c r="G6" s="67"/>
      <c r="H6" s="67"/>
      <c r="I6" s="67"/>
      <c r="J6" s="67"/>
      <c r="K6" s="68"/>
    </row>
    <row r="7" spans="1:11" ht="13.15" customHeight="1" x14ac:dyDescent="0.25">
      <c r="A7" s="65"/>
      <c r="B7" s="73" t="s">
        <v>842</v>
      </c>
      <c r="C7" s="73" t="s">
        <v>841</v>
      </c>
      <c r="D7" s="73" t="s">
        <v>843</v>
      </c>
      <c r="E7" s="74" t="s">
        <v>844</v>
      </c>
      <c r="F7" s="75" t="s">
        <v>845</v>
      </c>
      <c r="G7" s="67"/>
      <c r="H7" s="67"/>
      <c r="I7" s="67"/>
      <c r="J7" s="67"/>
      <c r="K7" s="68"/>
    </row>
    <row r="8" spans="1:11" ht="13.15" customHeight="1" x14ac:dyDescent="0.25">
      <c r="A8" s="65"/>
      <c r="B8" s="73" t="s">
        <v>846</v>
      </c>
      <c r="C8" s="73" t="s">
        <v>843</v>
      </c>
      <c r="D8" s="73" t="s">
        <v>847</v>
      </c>
      <c r="E8" s="67"/>
      <c r="F8" s="67"/>
      <c r="G8" s="67"/>
      <c r="H8" s="67"/>
      <c r="I8" s="67"/>
      <c r="J8" s="67"/>
      <c r="K8" s="68"/>
    </row>
    <row r="9" spans="1:11" ht="13.15" customHeight="1" x14ac:dyDescent="0.25">
      <c r="A9" s="65"/>
      <c r="B9" s="73" t="s">
        <v>848</v>
      </c>
      <c r="C9" s="73" t="s">
        <v>847</v>
      </c>
      <c r="D9" s="73" t="s">
        <v>849</v>
      </c>
      <c r="E9" s="67"/>
      <c r="F9" s="67"/>
      <c r="G9" s="67"/>
      <c r="H9" s="67"/>
      <c r="I9" s="67"/>
      <c r="J9" s="67"/>
      <c r="K9" s="68"/>
    </row>
    <row r="10" spans="1:11" ht="13.15" customHeight="1" x14ac:dyDescent="0.25">
      <c r="A10" s="65"/>
      <c r="B10" s="73" t="s">
        <v>850</v>
      </c>
      <c r="C10" s="73" t="s">
        <v>849</v>
      </c>
      <c r="D10" s="73" t="s">
        <v>851</v>
      </c>
      <c r="E10" s="67"/>
      <c r="F10" s="67"/>
      <c r="G10" s="67"/>
      <c r="H10" s="67"/>
      <c r="I10" s="67"/>
      <c r="J10" s="67"/>
      <c r="K10" s="68"/>
    </row>
    <row r="11" spans="1:11" ht="13.15" customHeight="1" x14ac:dyDescent="0.25">
      <c r="A11" s="65"/>
      <c r="B11" s="73" t="s">
        <v>852</v>
      </c>
      <c r="C11" s="73" t="s">
        <v>851</v>
      </c>
      <c r="D11" s="73" t="s">
        <v>853</v>
      </c>
      <c r="E11" s="67"/>
      <c r="F11" s="67"/>
      <c r="G11" s="67"/>
      <c r="H11" s="67"/>
      <c r="I11" s="67"/>
      <c r="J11" s="67"/>
      <c r="K11" s="68"/>
    </row>
    <row r="12" spans="1:11" ht="9" customHeight="1" x14ac:dyDescent="0.25">
      <c r="A12" s="65"/>
      <c r="B12" s="76"/>
      <c r="C12" s="76"/>
      <c r="D12" s="76"/>
      <c r="E12" s="67"/>
      <c r="F12" s="67"/>
      <c r="G12" s="67"/>
      <c r="H12" s="67"/>
      <c r="I12" s="67"/>
      <c r="J12" s="67"/>
      <c r="K12" s="68"/>
    </row>
    <row r="13" spans="1:11" ht="13.15" customHeight="1" x14ac:dyDescent="0.25">
      <c r="A13" s="77">
        <v>2</v>
      </c>
      <c r="B13" s="76" t="s">
        <v>854</v>
      </c>
      <c r="C13" s="76"/>
      <c r="D13" s="76"/>
      <c r="E13" s="66"/>
      <c r="F13" s="66"/>
      <c r="G13" s="66"/>
      <c r="H13" s="66"/>
      <c r="I13" s="66"/>
      <c r="J13" s="66"/>
      <c r="K13" s="68"/>
    </row>
    <row r="14" spans="1:11" ht="13.15" customHeight="1" x14ac:dyDescent="0.25">
      <c r="A14" s="65"/>
      <c r="B14" s="76" t="s">
        <v>855</v>
      </c>
      <c r="C14" s="76"/>
      <c r="D14" s="76"/>
      <c r="E14" s="67"/>
      <c r="F14" s="67"/>
      <c r="G14" s="67"/>
      <c r="H14" s="67"/>
      <c r="I14" s="67"/>
      <c r="J14" s="67"/>
      <c r="K14" s="68"/>
    </row>
    <row r="15" spans="1:11" ht="13.15" customHeight="1" x14ac:dyDescent="0.25">
      <c r="A15" s="65"/>
      <c r="B15" s="69" t="s">
        <v>832</v>
      </c>
      <c r="C15" s="70" t="s">
        <v>833</v>
      </c>
      <c r="D15" s="71"/>
      <c r="E15" s="67"/>
      <c r="F15" s="67"/>
      <c r="G15" s="67"/>
      <c r="H15" s="67"/>
      <c r="I15" s="67"/>
      <c r="J15" s="67"/>
      <c r="K15" s="68"/>
    </row>
    <row r="16" spans="1:11" ht="13.15" customHeight="1" x14ac:dyDescent="0.25">
      <c r="A16" s="65"/>
      <c r="B16" s="72" t="s">
        <v>834</v>
      </c>
      <c r="C16" s="73" t="s">
        <v>835</v>
      </c>
      <c r="D16" s="73" t="s">
        <v>836</v>
      </c>
      <c r="E16" s="67"/>
      <c r="F16" s="67"/>
      <c r="G16" s="67"/>
      <c r="H16" s="67"/>
      <c r="I16" s="67"/>
      <c r="J16" s="67"/>
      <c r="K16" s="68"/>
    </row>
    <row r="17" spans="1:11" ht="13.15" customHeight="1" x14ac:dyDescent="0.25">
      <c r="A17" s="65"/>
      <c r="B17" s="73" t="s">
        <v>837</v>
      </c>
      <c r="C17" s="73" t="s">
        <v>838</v>
      </c>
      <c r="D17" s="73" t="s">
        <v>856</v>
      </c>
      <c r="E17" s="67"/>
      <c r="F17" s="67"/>
      <c r="G17" s="67"/>
      <c r="H17" s="67"/>
      <c r="I17" s="67"/>
      <c r="J17" s="67"/>
      <c r="K17" s="68"/>
    </row>
    <row r="18" spans="1:11" ht="13.15" customHeight="1" x14ac:dyDescent="0.25">
      <c r="A18" s="65"/>
      <c r="B18" s="73" t="s">
        <v>840</v>
      </c>
      <c r="C18" s="73" t="s">
        <v>856</v>
      </c>
      <c r="D18" s="73" t="s">
        <v>857</v>
      </c>
      <c r="E18" s="74" t="s">
        <v>844</v>
      </c>
      <c r="F18" s="75" t="s">
        <v>858</v>
      </c>
      <c r="G18" s="67"/>
      <c r="H18" s="67"/>
      <c r="I18" s="67"/>
      <c r="J18" s="67"/>
      <c r="K18" s="68"/>
    </row>
    <row r="19" spans="1:11" ht="13.15" customHeight="1" x14ac:dyDescent="0.25">
      <c r="A19" s="65"/>
      <c r="B19" s="73" t="s">
        <v>842</v>
      </c>
      <c r="C19" s="73" t="s">
        <v>857</v>
      </c>
      <c r="D19" s="73" t="s">
        <v>859</v>
      </c>
      <c r="E19" s="67"/>
      <c r="F19" s="67"/>
      <c r="G19" s="67"/>
      <c r="H19" s="67"/>
      <c r="I19" s="67"/>
      <c r="J19" s="67"/>
      <c r="K19" s="68"/>
    </row>
    <row r="20" spans="1:11" ht="13.15" customHeight="1" x14ac:dyDescent="0.25">
      <c r="A20" s="65"/>
      <c r="B20" s="73" t="s">
        <v>846</v>
      </c>
      <c r="C20" s="73" t="s">
        <v>859</v>
      </c>
      <c r="D20" s="73" t="s">
        <v>853</v>
      </c>
      <c r="E20" s="67"/>
      <c r="F20" s="67"/>
      <c r="G20" s="67"/>
      <c r="H20" s="67"/>
      <c r="I20" s="67"/>
      <c r="J20" s="67"/>
      <c r="K20" s="68"/>
    </row>
    <row r="21" spans="1:11" ht="13.15" customHeight="1" x14ac:dyDescent="0.25">
      <c r="A21" s="65"/>
      <c r="B21" s="73" t="s">
        <v>848</v>
      </c>
      <c r="C21" s="73" t="s">
        <v>853</v>
      </c>
      <c r="D21" s="73" t="s">
        <v>860</v>
      </c>
      <c r="E21" s="67"/>
      <c r="F21" s="67"/>
      <c r="G21" s="67"/>
      <c r="H21" s="67"/>
      <c r="I21" s="67"/>
      <c r="J21" s="67"/>
      <c r="K21" s="68"/>
    </row>
    <row r="22" spans="1:11" ht="13.15" customHeight="1" x14ac:dyDescent="0.25">
      <c r="A22" s="65"/>
      <c r="B22" s="73" t="s">
        <v>850</v>
      </c>
      <c r="C22" s="73" t="s">
        <v>860</v>
      </c>
      <c r="D22" s="73" t="s">
        <v>861</v>
      </c>
      <c r="E22" s="67"/>
      <c r="F22" s="67"/>
      <c r="G22" s="67"/>
      <c r="H22" s="67"/>
      <c r="I22" s="67"/>
      <c r="J22" s="67"/>
      <c r="K22" s="68"/>
    </row>
    <row r="23" spans="1:11" ht="13.15" customHeight="1" thickBot="1" x14ac:dyDescent="0.3">
      <c r="A23" s="78"/>
      <c r="B23" s="79" t="s">
        <v>852</v>
      </c>
      <c r="C23" s="79" t="s">
        <v>861</v>
      </c>
      <c r="D23" s="79" t="s">
        <v>862</v>
      </c>
      <c r="E23" s="80"/>
      <c r="F23" s="80"/>
      <c r="G23" s="80"/>
      <c r="H23" s="80"/>
      <c r="I23" s="80"/>
      <c r="J23" s="80"/>
      <c r="K23" s="81"/>
    </row>
  </sheetData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31"/>
  <sheetViews>
    <sheetView showZeros="0" topLeftCell="D112" zoomScale="112" zoomScaleNormal="112" workbookViewId="0">
      <selection sqref="A1:C1"/>
    </sheetView>
  </sheetViews>
  <sheetFormatPr defaultColWidth="10.6640625" defaultRowHeight="12.75" x14ac:dyDescent="0.2"/>
  <cols>
    <col min="1" max="1" width="10.6640625" style="31" customWidth="1"/>
    <col min="2" max="2" width="13.1640625" style="31" customWidth="1"/>
    <col min="3" max="3" width="38" style="31" customWidth="1"/>
    <col min="4" max="4" width="3.83203125" style="31" customWidth="1"/>
    <col min="5" max="16" width="10" style="31" customWidth="1"/>
    <col min="17" max="17" width="10.6640625" style="31" customWidth="1"/>
    <col min="18" max="255" width="10.6640625" style="31"/>
    <col min="256" max="256" width="13.1640625" style="31" customWidth="1"/>
    <col min="257" max="257" width="79" style="31" customWidth="1"/>
    <col min="258" max="258" width="3.83203125" style="31" customWidth="1"/>
    <col min="259" max="271" width="12.5" style="31" customWidth="1"/>
    <col min="272" max="272" width="8.5" style="31" customWidth="1"/>
    <col min="273" max="511" width="10.6640625" style="31"/>
    <col min="512" max="512" width="13.1640625" style="31" customWidth="1"/>
    <col min="513" max="513" width="79" style="31" customWidth="1"/>
    <col min="514" max="514" width="3.83203125" style="31" customWidth="1"/>
    <col min="515" max="527" width="12.5" style="31" customWidth="1"/>
    <col min="528" max="528" width="8.5" style="31" customWidth="1"/>
    <col min="529" max="767" width="10.6640625" style="31"/>
    <col min="768" max="768" width="13.1640625" style="31" customWidth="1"/>
    <col min="769" max="769" width="79" style="31" customWidth="1"/>
    <col min="770" max="770" width="3.83203125" style="31" customWidth="1"/>
    <col min="771" max="783" width="12.5" style="31" customWidth="1"/>
    <col min="784" max="784" width="8.5" style="31" customWidth="1"/>
    <col min="785" max="1023" width="10.6640625" style="31"/>
    <col min="1024" max="1024" width="13.1640625" style="31" customWidth="1"/>
    <col min="1025" max="1025" width="79" style="31" customWidth="1"/>
    <col min="1026" max="1026" width="3.83203125" style="31" customWidth="1"/>
    <col min="1027" max="1039" width="12.5" style="31" customWidth="1"/>
    <col min="1040" max="1040" width="8.5" style="31" customWidth="1"/>
    <col min="1041" max="1279" width="10.6640625" style="31"/>
    <col min="1280" max="1280" width="13.1640625" style="31" customWidth="1"/>
    <col min="1281" max="1281" width="79" style="31" customWidth="1"/>
    <col min="1282" max="1282" width="3.83203125" style="31" customWidth="1"/>
    <col min="1283" max="1295" width="12.5" style="31" customWidth="1"/>
    <col min="1296" max="1296" width="8.5" style="31" customWidth="1"/>
    <col min="1297" max="1535" width="10.6640625" style="31"/>
    <col min="1536" max="1536" width="13.1640625" style="31" customWidth="1"/>
    <col min="1537" max="1537" width="79" style="31" customWidth="1"/>
    <col min="1538" max="1538" width="3.83203125" style="31" customWidth="1"/>
    <col min="1539" max="1551" width="12.5" style="31" customWidth="1"/>
    <col min="1552" max="1552" width="8.5" style="31" customWidth="1"/>
    <col min="1553" max="1791" width="10.6640625" style="31"/>
    <col min="1792" max="1792" width="13.1640625" style="31" customWidth="1"/>
    <col min="1793" max="1793" width="79" style="31" customWidth="1"/>
    <col min="1794" max="1794" width="3.83203125" style="31" customWidth="1"/>
    <col min="1795" max="1807" width="12.5" style="31" customWidth="1"/>
    <col min="1808" max="1808" width="8.5" style="31" customWidth="1"/>
    <col min="1809" max="2047" width="10.6640625" style="31"/>
    <col min="2048" max="2048" width="13.1640625" style="31" customWidth="1"/>
    <col min="2049" max="2049" width="79" style="31" customWidth="1"/>
    <col min="2050" max="2050" width="3.83203125" style="31" customWidth="1"/>
    <col min="2051" max="2063" width="12.5" style="31" customWidth="1"/>
    <col min="2064" max="2064" width="8.5" style="31" customWidth="1"/>
    <col min="2065" max="2303" width="10.6640625" style="31"/>
    <col min="2304" max="2304" width="13.1640625" style="31" customWidth="1"/>
    <col min="2305" max="2305" width="79" style="31" customWidth="1"/>
    <col min="2306" max="2306" width="3.83203125" style="31" customWidth="1"/>
    <col min="2307" max="2319" width="12.5" style="31" customWidth="1"/>
    <col min="2320" max="2320" width="8.5" style="31" customWidth="1"/>
    <col min="2321" max="2559" width="10.6640625" style="31"/>
    <col min="2560" max="2560" width="13.1640625" style="31" customWidth="1"/>
    <col min="2561" max="2561" width="79" style="31" customWidth="1"/>
    <col min="2562" max="2562" width="3.83203125" style="31" customWidth="1"/>
    <col min="2563" max="2575" width="12.5" style="31" customWidth="1"/>
    <col min="2576" max="2576" width="8.5" style="31" customWidth="1"/>
    <col min="2577" max="2815" width="10.6640625" style="31"/>
    <col min="2816" max="2816" width="13.1640625" style="31" customWidth="1"/>
    <col min="2817" max="2817" width="79" style="31" customWidth="1"/>
    <col min="2818" max="2818" width="3.83203125" style="31" customWidth="1"/>
    <col min="2819" max="2831" width="12.5" style="31" customWidth="1"/>
    <col min="2832" max="2832" width="8.5" style="31" customWidth="1"/>
    <col min="2833" max="3071" width="10.6640625" style="31"/>
    <col min="3072" max="3072" width="13.1640625" style="31" customWidth="1"/>
    <col min="3073" max="3073" width="79" style="31" customWidth="1"/>
    <col min="3074" max="3074" width="3.83203125" style="31" customWidth="1"/>
    <col min="3075" max="3087" width="12.5" style="31" customWidth="1"/>
    <col min="3088" max="3088" width="8.5" style="31" customWidth="1"/>
    <col min="3089" max="3327" width="10.6640625" style="31"/>
    <col min="3328" max="3328" width="13.1640625" style="31" customWidth="1"/>
    <col min="3329" max="3329" width="79" style="31" customWidth="1"/>
    <col min="3330" max="3330" width="3.83203125" style="31" customWidth="1"/>
    <col min="3331" max="3343" width="12.5" style="31" customWidth="1"/>
    <col min="3344" max="3344" width="8.5" style="31" customWidth="1"/>
    <col min="3345" max="3583" width="10.6640625" style="31"/>
    <col min="3584" max="3584" width="13.1640625" style="31" customWidth="1"/>
    <col min="3585" max="3585" width="79" style="31" customWidth="1"/>
    <col min="3586" max="3586" width="3.83203125" style="31" customWidth="1"/>
    <col min="3587" max="3599" width="12.5" style="31" customWidth="1"/>
    <col min="3600" max="3600" width="8.5" style="31" customWidth="1"/>
    <col min="3601" max="3839" width="10.6640625" style="31"/>
    <col min="3840" max="3840" width="13.1640625" style="31" customWidth="1"/>
    <col min="3841" max="3841" width="79" style="31" customWidth="1"/>
    <col min="3842" max="3842" width="3.83203125" style="31" customWidth="1"/>
    <col min="3843" max="3855" width="12.5" style="31" customWidth="1"/>
    <col min="3856" max="3856" width="8.5" style="31" customWidth="1"/>
    <col min="3857" max="4095" width="10.6640625" style="31"/>
    <col min="4096" max="4096" width="13.1640625" style="31" customWidth="1"/>
    <col min="4097" max="4097" width="79" style="31" customWidth="1"/>
    <col min="4098" max="4098" width="3.83203125" style="31" customWidth="1"/>
    <col min="4099" max="4111" width="12.5" style="31" customWidth="1"/>
    <col min="4112" max="4112" width="8.5" style="31" customWidth="1"/>
    <col min="4113" max="4351" width="10.6640625" style="31"/>
    <col min="4352" max="4352" width="13.1640625" style="31" customWidth="1"/>
    <col min="4353" max="4353" width="79" style="31" customWidth="1"/>
    <col min="4354" max="4354" width="3.83203125" style="31" customWidth="1"/>
    <col min="4355" max="4367" width="12.5" style="31" customWidth="1"/>
    <col min="4368" max="4368" width="8.5" style="31" customWidth="1"/>
    <col min="4369" max="4607" width="10.6640625" style="31"/>
    <col min="4608" max="4608" width="13.1640625" style="31" customWidth="1"/>
    <col min="4609" max="4609" width="79" style="31" customWidth="1"/>
    <col min="4610" max="4610" width="3.83203125" style="31" customWidth="1"/>
    <col min="4611" max="4623" width="12.5" style="31" customWidth="1"/>
    <col min="4624" max="4624" width="8.5" style="31" customWidth="1"/>
    <col min="4625" max="4863" width="10.6640625" style="31"/>
    <col min="4864" max="4864" width="13.1640625" style="31" customWidth="1"/>
    <col min="4865" max="4865" width="79" style="31" customWidth="1"/>
    <col min="4866" max="4866" width="3.83203125" style="31" customWidth="1"/>
    <col min="4867" max="4879" width="12.5" style="31" customWidth="1"/>
    <col min="4880" max="4880" width="8.5" style="31" customWidth="1"/>
    <col min="4881" max="5119" width="10.6640625" style="31"/>
    <col min="5120" max="5120" width="13.1640625" style="31" customWidth="1"/>
    <col min="5121" max="5121" width="79" style="31" customWidth="1"/>
    <col min="5122" max="5122" width="3.83203125" style="31" customWidth="1"/>
    <col min="5123" max="5135" width="12.5" style="31" customWidth="1"/>
    <col min="5136" max="5136" width="8.5" style="31" customWidth="1"/>
    <col min="5137" max="5375" width="10.6640625" style="31"/>
    <col min="5376" max="5376" width="13.1640625" style="31" customWidth="1"/>
    <col min="5377" max="5377" width="79" style="31" customWidth="1"/>
    <col min="5378" max="5378" width="3.83203125" style="31" customWidth="1"/>
    <col min="5379" max="5391" width="12.5" style="31" customWidth="1"/>
    <col min="5392" max="5392" width="8.5" style="31" customWidth="1"/>
    <col min="5393" max="5631" width="10.6640625" style="31"/>
    <col min="5632" max="5632" width="13.1640625" style="31" customWidth="1"/>
    <col min="5633" max="5633" width="79" style="31" customWidth="1"/>
    <col min="5634" max="5634" width="3.83203125" style="31" customWidth="1"/>
    <col min="5635" max="5647" width="12.5" style="31" customWidth="1"/>
    <col min="5648" max="5648" width="8.5" style="31" customWidth="1"/>
    <col min="5649" max="5887" width="10.6640625" style="31"/>
    <col min="5888" max="5888" width="13.1640625" style="31" customWidth="1"/>
    <col min="5889" max="5889" width="79" style="31" customWidth="1"/>
    <col min="5890" max="5890" width="3.83203125" style="31" customWidth="1"/>
    <col min="5891" max="5903" width="12.5" style="31" customWidth="1"/>
    <col min="5904" max="5904" width="8.5" style="31" customWidth="1"/>
    <col min="5905" max="6143" width="10.6640625" style="31"/>
    <col min="6144" max="6144" width="13.1640625" style="31" customWidth="1"/>
    <col min="6145" max="6145" width="79" style="31" customWidth="1"/>
    <col min="6146" max="6146" width="3.83203125" style="31" customWidth="1"/>
    <col min="6147" max="6159" width="12.5" style="31" customWidth="1"/>
    <col min="6160" max="6160" width="8.5" style="31" customWidth="1"/>
    <col min="6161" max="6399" width="10.6640625" style="31"/>
    <col min="6400" max="6400" width="13.1640625" style="31" customWidth="1"/>
    <col min="6401" max="6401" width="79" style="31" customWidth="1"/>
    <col min="6402" max="6402" width="3.83203125" style="31" customWidth="1"/>
    <col min="6403" max="6415" width="12.5" style="31" customWidth="1"/>
    <col min="6416" max="6416" width="8.5" style="31" customWidth="1"/>
    <col min="6417" max="6655" width="10.6640625" style="31"/>
    <col min="6656" max="6656" width="13.1640625" style="31" customWidth="1"/>
    <col min="6657" max="6657" width="79" style="31" customWidth="1"/>
    <col min="6658" max="6658" width="3.83203125" style="31" customWidth="1"/>
    <col min="6659" max="6671" width="12.5" style="31" customWidth="1"/>
    <col min="6672" max="6672" width="8.5" style="31" customWidth="1"/>
    <col min="6673" max="6911" width="10.6640625" style="31"/>
    <col min="6912" max="6912" width="13.1640625" style="31" customWidth="1"/>
    <col min="6913" max="6913" width="79" style="31" customWidth="1"/>
    <col min="6914" max="6914" width="3.83203125" style="31" customWidth="1"/>
    <col min="6915" max="6927" width="12.5" style="31" customWidth="1"/>
    <col min="6928" max="6928" width="8.5" style="31" customWidth="1"/>
    <col min="6929" max="7167" width="10.6640625" style="31"/>
    <col min="7168" max="7168" width="13.1640625" style="31" customWidth="1"/>
    <col min="7169" max="7169" width="79" style="31" customWidth="1"/>
    <col min="7170" max="7170" width="3.83203125" style="31" customWidth="1"/>
    <col min="7171" max="7183" width="12.5" style="31" customWidth="1"/>
    <col min="7184" max="7184" width="8.5" style="31" customWidth="1"/>
    <col min="7185" max="7423" width="10.6640625" style="31"/>
    <col min="7424" max="7424" width="13.1640625" style="31" customWidth="1"/>
    <col min="7425" max="7425" width="79" style="31" customWidth="1"/>
    <col min="7426" max="7426" width="3.83203125" style="31" customWidth="1"/>
    <col min="7427" max="7439" width="12.5" style="31" customWidth="1"/>
    <col min="7440" max="7440" width="8.5" style="31" customWidth="1"/>
    <col min="7441" max="7679" width="10.6640625" style="31"/>
    <col min="7680" max="7680" width="13.1640625" style="31" customWidth="1"/>
    <col min="7681" max="7681" width="79" style="31" customWidth="1"/>
    <col min="7682" max="7682" width="3.83203125" style="31" customWidth="1"/>
    <col min="7683" max="7695" width="12.5" style="31" customWidth="1"/>
    <col min="7696" max="7696" width="8.5" style="31" customWidth="1"/>
    <col min="7697" max="7935" width="10.6640625" style="31"/>
    <col min="7936" max="7936" width="13.1640625" style="31" customWidth="1"/>
    <col min="7937" max="7937" width="79" style="31" customWidth="1"/>
    <col min="7938" max="7938" width="3.83203125" style="31" customWidth="1"/>
    <col min="7939" max="7951" width="12.5" style="31" customWidth="1"/>
    <col min="7952" max="7952" width="8.5" style="31" customWidth="1"/>
    <col min="7953" max="8191" width="10.6640625" style="31"/>
    <col min="8192" max="8192" width="13.1640625" style="31" customWidth="1"/>
    <col min="8193" max="8193" width="79" style="31" customWidth="1"/>
    <col min="8194" max="8194" width="3.83203125" style="31" customWidth="1"/>
    <col min="8195" max="8207" width="12.5" style="31" customWidth="1"/>
    <col min="8208" max="8208" width="8.5" style="31" customWidth="1"/>
    <col min="8209" max="8447" width="10.6640625" style="31"/>
    <col min="8448" max="8448" width="13.1640625" style="31" customWidth="1"/>
    <col min="8449" max="8449" width="79" style="31" customWidth="1"/>
    <col min="8450" max="8450" width="3.83203125" style="31" customWidth="1"/>
    <col min="8451" max="8463" width="12.5" style="31" customWidth="1"/>
    <col min="8464" max="8464" width="8.5" style="31" customWidth="1"/>
    <col min="8465" max="8703" width="10.6640625" style="31"/>
    <col min="8704" max="8704" width="13.1640625" style="31" customWidth="1"/>
    <col min="8705" max="8705" width="79" style="31" customWidth="1"/>
    <col min="8706" max="8706" width="3.83203125" style="31" customWidth="1"/>
    <col min="8707" max="8719" width="12.5" style="31" customWidth="1"/>
    <col min="8720" max="8720" width="8.5" style="31" customWidth="1"/>
    <col min="8721" max="8959" width="10.6640625" style="31"/>
    <col min="8960" max="8960" width="13.1640625" style="31" customWidth="1"/>
    <col min="8961" max="8961" width="79" style="31" customWidth="1"/>
    <col min="8962" max="8962" width="3.83203125" style="31" customWidth="1"/>
    <col min="8963" max="8975" width="12.5" style="31" customWidth="1"/>
    <col min="8976" max="8976" width="8.5" style="31" customWidth="1"/>
    <col min="8977" max="9215" width="10.6640625" style="31"/>
    <col min="9216" max="9216" width="13.1640625" style="31" customWidth="1"/>
    <col min="9217" max="9217" width="79" style="31" customWidth="1"/>
    <col min="9218" max="9218" width="3.83203125" style="31" customWidth="1"/>
    <col min="9219" max="9231" width="12.5" style="31" customWidth="1"/>
    <col min="9232" max="9232" width="8.5" style="31" customWidth="1"/>
    <col min="9233" max="9471" width="10.6640625" style="31"/>
    <col min="9472" max="9472" width="13.1640625" style="31" customWidth="1"/>
    <col min="9473" max="9473" width="79" style="31" customWidth="1"/>
    <col min="9474" max="9474" width="3.83203125" style="31" customWidth="1"/>
    <col min="9475" max="9487" width="12.5" style="31" customWidth="1"/>
    <col min="9488" max="9488" width="8.5" style="31" customWidth="1"/>
    <col min="9489" max="9727" width="10.6640625" style="31"/>
    <col min="9728" max="9728" width="13.1640625" style="31" customWidth="1"/>
    <col min="9729" max="9729" width="79" style="31" customWidth="1"/>
    <col min="9730" max="9730" width="3.83203125" style="31" customWidth="1"/>
    <col min="9731" max="9743" width="12.5" style="31" customWidth="1"/>
    <col min="9744" max="9744" width="8.5" style="31" customWidth="1"/>
    <col min="9745" max="9983" width="10.6640625" style="31"/>
    <col min="9984" max="9984" width="13.1640625" style="31" customWidth="1"/>
    <col min="9985" max="9985" width="79" style="31" customWidth="1"/>
    <col min="9986" max="9986" width="3.83203125" style="31" customWidth="1"/>
    <col min="9987" max="9999" width="12.5" style="31" customWidth="1"/>
    <col min="10000" max="10000" width="8.5" style="31" customWidth="1"/>
    <col min="10001" max="10239" width="10.6640625" style="31"/>
    <col min="10240" max="10240" width="13.1640625" style="31" customWidth="1"/>
    <col min="10241" max="10241" width="79" style="31" customWidth="1"/>
    <col min="10242" max="10242" width="3.83203125" style="31" customWidth="1"/>
    <col min="10243" max="10255" width="12.5" style="31" customWidth="1"/>
    <col min="10256" max="10256" width="8.5" style="31" customWidth="1"/>
    <col min="10257" max="10495" width="10.6640625" style="31"/>
    <col min="10496" max="10496" width="13.1640625" style="31" customWidth="1"/>
    <col min="10497" max="10497" width="79" style="31" customWidth="1"/>
    <col min="10498" max="10498" width="3.83203125" style="31" customWidth="1"/>
    <col min="10499" max="10511" width="12.5" style="31" customWidth="1"/>
    <col min="10512" max="10512" width="8.5" style="31" customWidth="1"/>
    <col min="10513" max="10751" width="10.6640625" style="31"/>
    <col min="10752" max="10752" width="13.1640625" style="31" customWidth="1"/>
    <col min="10753" max="10753" width="79" style="31" customWidth="1"/>
    <col min="10754" max="10754" width="3.83203125" style="31" customWidth="1"/>
    <col min="10755" max="10767" width="12.5" style="31" customWidth="1"/>
    <col min="10768" max="10768" width="8.5" style="31" customWidth="1"/>
    <col min="10769" max="11007" width="10.6640625" style="31"/>
    <col min="11008" max="11008" width="13.1640625" style="31" customWidth="1"/>
    <col min="11009" max="11009" width="79" style="31" customWidth="1"/>
    <col min="11010" max="11010" width="3.83203125" style="31" customWidth="1"/>
    <col min="11011" max="11023" width="12.5" style="31" customWidth="1"/>
    <col min="11024" max="11024" width="8.5" style="31" customWidth="1"/>
    <col min="11025" max="11263" width="10.6640625" style="31"/>
    <col min="11264" max="11264" width="13.1640625" style="31" customWidth="1"/>
    <col min="11265" max="11265" width="79" style="31" customWidth="1"/>
    <col min="11266" max="11266" width="3.83203125" style="31" customWidth="1"/>
    <col min="11267" max="11279" width="12.5" style="31" customWidth="1"/>
    <col min="11280" max="11280" width="8.5" style="31" customWidth="1"/>
    <col min="11281" max="11519" width="10.6640625" style="31"/>
    <col min="11520" max="11520" width="13.1640625" style="31" customWidth="1"/>
    <col min="11521" max="11521" width="79" style="31" customWidth="1"/>
    <col min="11522" max="11522" width="3.83203125" style="31" customWidth="1"/>
    <col min="11523" max="11535" width="12.5" style="31" customWidth="1"/>
    <col min="11536" max="11536" width="8.5" style="31" customWidth="1"/>
    <col min="11537" max="11775" width="10.6640625" style="31"/>
    <col min="11776" max="11776" width="13.1640625" style="31" customWidth="1"/>
    <col min="11777" max="11777" width="79" style="31" customWidth="1"/>
    <col min="11778" max="11778" width="3.83203125" style="31" customWidth="1"/>
    <col min="11779" max="11791" width="12.5" style="31" customWidth="1"/>
    <col min="11792" max="11792" width="8.5" style="31" customWidth="1"/>
    <col min="11793" max="12031" width="10.6640625" style="31"/>
    <col min="12032" max="12032" width="13.1640625" style="31" customWidth="1"/>
    <col min="12033" max="12033" width="79" style="31" customWidth="1"/>
    <col min="12034" max="12034" width="3.83203125" style="31" customWidth="1"/>
    <col min="12035" max="12047" width="12.5" style="31" customWidth="1"/>
    <col min="12048" max="12048" width="8.5" style="31" customWidth="1"/>
    <col min="12049" max="12287" width="10.6640625" style="31"/>
    <col min="12288" max="12288" width="13.1640625" style="31" customWidth="1"/>
    <col min="12289" max="12289" width="79" style="31" customWidth="1"/>
    <col min="12290" max="12290" width="3.83203125" style="31" customWidth="1"/>
    <col min="12291" max="12303" width="12.5" style="31" customWidth="1"/>
    <col min="12304" max="12304" width="8.5" style="31" customWidth="1"/>
    <col min="12305" max="12543" width="10.6640625" style="31"/>
    <col min="12544" max="12544" width="13.1640625" style="31" customWidth="1"/>
    <col min="12545" max="12545" width="79" style="31" customWidth="1"/>
    <col min="12546" max="12546" width="3.83203125" style="31" customWidth="1"/>
    <col min="12547" max="12559" width="12.5" style="31" customWidth="1"/>
    <col min="12560" max="12560" width="8.5" style="31" customWidth="1"/>
    <col min="12561" max="12799" width="10.6640625" style="31"/>
    <col min="12800" max="12800" width="13.1640625" style="31" customWidth="1"/>
    <col min="12801" max="12801" width="79" style="31" customWidth="1"/>
    <col min="12802" max="12802" width="3.83203125" style="31" customWidth="1"/>
    <col min="12803" max="12815" width="12.5" style="31" customWidth="1"/>
    <col min="12816" max="12816" width="8.5" style="31" customWidth="1"/>
    <col min="12817" max="13055" width="10.6640625" style="31"/>
    <col min="13056" max="13056" width="13.1640625" style="31" customWidth="1"/>
    <col min="13057" max="13057" width="79" style="31" customWidth="1"/>
    <col min="13058" max="13058" width="3.83203125" style="31" customWidth="1"/>
    <col min="13059" max="13071" width="12.5" style="31" customWidth="1"/>
    <col min="13072" max="13072" width="8.5" style="31" customWidth="1"/>
    <col min="13073" max="13311" width="10.6640625" style="31"/>
    <col min="13312" max="13312" width="13.1640625" style="31" customWidth="1"/>
    <col min="13313" max="13313" width="79" style="31" customWidth="1"/>
    <col min="13314" max="13314" width="3.83203125" style="31" customWidth="1"/>
    <col min="13315" max="13327" width="12.5" style="31" customWidth="1"/>
    <col min="13328" max="13328" width="8.5" style="31" customWidth="1"/>
    <col min="13329" max="13567" width="10.6640625" style="31"/>
    <col min="13568" max="13568" width="13.1640625" style="31" customWidth="1"/>
    <col min="13569" max="13569" width="79" style="31" customWidth="1"/>
    <col min="13570" max="13570" width="3.83203125" style="31" customWidth="1"/>
    <col min="13571" max="13583" width="12.5" style="31" customWidth="1"/>
    <col min="13584" max="13584" width="8.5" style="31" customWidth="1"/>
    <col min="13585" max="13823" width="10.6640625" style="31"/>
    <col min="13824" max="13824" width="13.1640625" style="31" customWidth="1"/>
    <col min="13825" max="13825" width="79" style="31" customWidth="1"/>
    <col min="13826" max="13826" width="3.83203125" style="31" customWidth="1"/>
    <col min="13827" max="13839" width="12.5" style="31" customWidth="1"/>
    <col min="13840" max="13840" width="8.5" style="31" customWidth="1"/>
    <col min="13841" max="14079" width="10.6640625" style="31"/>
    <col min="14080" max="14080" width="13.1640625" style="31" customWidth="1"/>
    <col min="14081" max="14081" width="79" style="31" customWidth="1"/>
    <col min="14082" max="14082" width="3.83203125" style="31" customWidth="1"/>
    <col min="14083" max="14095" width="12.5" style="31" customWidth="1"/>
    <col min="14096" max="14096" width="8.5" style="31" customWidth="1"/>
    <col min="14097" max="14335" width="10.6640625" style="31"/>
    <col min="14336" max="14336" width="13.1640625" style="31" customWidth="1"/>
    <col min="14337" max="14337" width="79" style="31" customWidth="1"/>
    <col min="14338" max="14338" width="3.83203125" style="31" customWidth="1"/>
    <col min="14339" max="14351" width="12.5" style="31" customWidth="1"/>
    <col min="14352" max="14352" width="8.5" style="31" customWidth="1"/>
    <col min="14353" max="14591" width="10.6640625" style="31"/>
    <col min="14592" max="14592" width="13.1640625" style="31" customWidth="1"/>
    <col min="14593" max="14593" width="79" style="31" customWidth="1"/>
    <col min="14594" max="14594" width="3.83203125" style="31" customWidth="1"/>
    <col min="14595" max="14607" width="12.5" style="31" customWidth="1"/>
    <col min="14608" max="14608" width="8.5" style="31" customWidth="1"/>
    <col min="14609" max="14847" width="10.6640625" style="31"/>
    <col min="14848" max="14848" width="13.1640625" style="31" customWidth="1"/>
    <col min="14849" max="14849" width="79" style="31" customWidth="1"/>
    <col min="14850" max="14850" width="3.83203125" style="31" customWidth="1"/>
    <col min="14851" max="14863" width="12.5" style="31" customWidth="1"/>
    <col min="14864" max="14864" width="8.5" style="31" customWidth="1"/>
    <col min="14865" max="15103" width="10.6640625" style="31"/>
    <col min="15104" max="15104" width="13.1640625" style="31" customWidth="1"/>
    <col min="15105" max="15105" width="79" style="31" customWidth="1"/>
    <col min="15106" max="15106" width="3.83203125" style="31" customWidth="1"/>
    <col min="15107" max="15119" width="12.5" style="31" customWidth="1"/>
    <col min="15120" max="15120" width="8.5" style="31" customWidth="1"/>
    <col min="15121" max="15359" width="10.6640625" style="31"/>
    <col min="15360" max="15360" width="13.1640625" style="31" customWidth="1"/>
    <col min="15361" max="15361" width="79" style="31" customWidth="1"/>
    <col min="15362" max="15362" width="3.83203125" style="31" customWidth="1"/>
    <col min="15363" max="15375" width="12.5" style="31" customWidth="1"/>
    <col min="15376" max="15376" width="8.5" style="31" customWidth="1"/>
    <col min="15377" max="15615" width="10.6640625" style="31"/>
    <col min="15616" max="15616" width="13.1640625" style="31" customWidth="1"/>
    <col min="15617" max="15617" width="79" style="31" customWidth="1"/>
    <col min="15618" max="15618" width="3.83203125" style="31" customWidth="1"/>
    <col min="15619" max="15631" width="12.5" style="31" customWidth="1"/>
    <col min="15632" max="15632" width="8.5" style="31" customWidth="1"/>
    <col min="15633" max="15871" width="10.6640625" style="31"/>
    <col min="15872" max="15872" width="13.1640625" style="31" customWidth="1"/>
    <col min="15873" max="15873" width="79" style="31" customWidth="1"/>
    <col min="15874" max="15874" width="3.83203125" style="31" customWidth="1"/>
    <col min="15875" max="15887" width="12.5" style="31" customWidth="1"/>
    <col min="15888" max="15888" width="8.5" style="31" customWidth="1"/>
    <col min="15889" max="16127" width="10.6640625" style="31"/>
    <col min="16128" max="16128" width="13.1640625" style="31" customWidth="1"/>
    <col min="16129" max="16129" width="79" style="31" customWidth="1"/>
    <col min="16130" max="16130" width="3.83203125" style="31" customWidth="1"/>
    <col min="16131" max="16143" width="12.5" style="31" customWidth="1"/>
    <col min="16144" max="16144" width="8.5" style="31" customWidth="1"/>
    <col min="16145" max="16384" width="10.6640625" style="31"/>
  </cols>
  <sheetData>
    <row r="1" spans="1:19" ht="13.5" thickBot="1" x14ac:dyDescent="0.25">
      <c r="A1" s="40" t="s">
        <v>80</v>
      </c>
      <c r="B1" s="41">
        <v>3</v>
      </c>
      <c r="C1" s="42"/>
      <c r="D1" s="43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</row>
    <row r="2" spans="1:19" ht="13.5" thickTop="1" x14ac:dyDescent="0.2">
      <c r="A2" s="45" t="str">
        <f>CONCATENATE($B$1,"|",B2)</f>
        <v>3|1</v>
      </c>
      <c r="B2" s="46">
        <v>1</v>
      </c>
      <c r="C2" s="47" t="s">
        <v>477</v>
      </c>
      <c r="D2" s="48">
        <v>1</v>
      </c>
      <c r="E2" s="49">
        <v>50</v>
      </c>
      <c r="F2" s="49">
        <v>50</v>
      </c>
      <c r="G2" s="49"/>
      <c r="H2" s="49"/>
      <c r="I2" s="49"/>
      <c r="J2" s="50"/>
      <c r="K2" s="50"/>
      <c r="L2" s="50"/>
      <c r="M2" s="50"/>
      <c r="N2" s="50"/>
      <c r="O2" s="50"/>
      <c r="P2" s="50"/>
      <c r="S2" s="31">
        <f>SUM(E2:P2)</f>
        <v>100</v>
      </c>
    </row>
    <row r="3" spans="1:19" x14ac:dyDescent="0.2">
      <c r="A3" s="51" t="str">
        <f t="shared" ref="A3:A12" si="0">CONCATENATE($B$1,"|",B3)</f>
        <v>3|2</v>
      </c>
      <c r="B3" s="52" t="s">
        <v>190</v>
      </c>
      <c r="C3" s="47" t="s">
        <v>473</v>
      </c>
      <c r="D3" s="48">
        <v>2</v>
      </c>
      <c r="E3" s="49">
        <v>50</v>
      </c>
      <c r="F3" s="49">
        <v>50</v>
      </c>
      <c r="G3" s="49"/>
      <c r="H3" s="49"/>
      <c r="I3" s="49"/>
      <c r="J3" s="53"/>
      <c r="K3" s="53"/>
      <c r="L3" s="53"/>
      <c r="M3" s="53"/>
      <c r="N3" s="53"/>
      <c r="O3" s="53"/>
      <c r="P3" s="53"/>
      <c r="S3" s="31">
        <f t="shared" ref="S3:S12" si="1">SUM(E3:P3)</f>
        <v>100</v>
      </c>
    </row>
    <row r="4" spans="1:19" x14ac:dyDescent="0.2">
      <c r="A4" s="51" t="str">
        <f t="shared" si="0"/>
        <v>3|3</v>
      </c>
      <c r="B4" s="52" t="s">
        <v>208</v>
      </c>
      <c r="C4" s="47" t="s">
        <v>479</v>
      </c>
      <c r="D4" s="48">
        <v>3</v>
      </c>
      <c r="E4" s="54">
        <v>25</v>
      </c>
      <c r="F4" s="54">
        <v>60</v>
      </c>
      <c r="G4" s="54">
        <v>15</v>
      </c>
      <c r="H4" s="54"/>
      <c r="I4" s="54"/>
      <c r="J4" s="53"/>
      <c r="K4" s="53"/>
      <c r="L4" s="53"/>
      <c r="M4" s="53"/>
      <c r="N4" s="53"/>
      <c r="O4" s="53"/>
      <c r="P4" s="53"/>
      <c r="S4" s="31">
        <f t="shared" si="1"/>
        <v>100</v>
      </c>
    </row>
    <row r="5" spans="1:19" x14ac:dyDescent="0.2">
      <c r="A5" s="51" t="str">
        <f t="shared" si="0"/>
        <v>3|4</v>
      </c>
      <c r="B5" s="52" t="s">
        <v>226</v>
      </c>
      <c r="C5" s="47" t="s">
        <v>474</v>
      </c>
      <c r="D5" s="48">
        <v>4</v>
      </c>
      <c r="E5" s="54"/>
      <c r="F5" s="54">
        <v>50</v>
      </c>
      <c r="G5" s="54">
        <v>50</v>
      </c>
      <c r="H5" s="54"/>
      <c r="I5" s="54"/>
      <c r="J5" s="53"/>
      <c r="K5" s="53"/>
      <c r="L5" s="53"/>
      <c r="M5" s="53"/>
      <c r="N5" s="53"/>
      <c r="O5" s="53"/>
      <c r="P5" s="53"/>
      <c r="S5" s="31">
        <f t="shared" si="1"/>
        <v>100</v>
      </c>
    </row>
    <row r="6" spans="1:19" x14ac:dyDescent="0.2">
      <c r="A6" s="51" t="str">
        <f t="shared" si="0"/>
        <v>3|5</v>
      </c>
      <c r="B6" s="52" t="s">
        <v>189</v>
      </c>
      <c r="C6" s="47" t="s">
        <v>475</v>
      </c>
      <c r="D6" s="48">
        <v>5</v>
      </c>
      <c r="E6" s="54">
        <v>20</v>
      </c>
      <c r="F6" s="54">
        <v>50</v>
      </c>
      <c r="G6" s="54">
        <v>30</v>
      </c>
      <c r="H6" s="54"/>
      <c r="I6" s="54"/>
      <c r="J6" s="53"/>
      <c r="K6" s="53"/>
      <c r="L6" s="53"/>
      <c r="M6" s="53"/>
      <c r="N6" s="53"/>
      <c r="O6" s="53"/>
      <c r="P6" s="53"/>
      <c r="S6" s="31">
        <f t="shared" si="1"/>
        <v>100</v>
      </c>
    </row>
    <row r="7" spans="1:19" x14ac:dyDescent="0.2">
      <c r="A7" s="51" t="str">
        <f t="shared" si="0"/>
        <v>3|6</v>
      </c>
      <c r="B7" s="52" t="s">
        <v>228</v>
      </c>
      <c r="C7" s="47" t="s">
        <v>481</v>
      </c>
      <c r="D7" s="48">
        <v>3</v>
      </c>
      <c r="E7" s="54"/>
      <c r="F7" s="54">
        <v>50</v>
      </c>
      <c r="G7" s="54">
        <v>50</v>
      </c>
      <c r="H7" s="54"/>
      <c r="I7" s="54"/>
      <c r="J7" s="53"/>
      <c r="K7" s="53"/>
      <c r="L7" s="53"/>
      <c r="M7" s="53"/>
      <c r="N7" s="53"/>
      <c r="O7" s="53"/>
      <c r="P7" s="53"/>
      <c r="S7" s="31">
        <f t="shared" si="1"/>
        <v>100</v>
      </c>
    </row>
    <row r="8" spans="1:19" x14ac:dyDescent="0.2">
      <c r="A8" s="51" t="str">
        <f t="shared" si="0"/>
        <v>3|7</v>
      </c>
      <c r="B8" s="52" t="s">
        <v>456</v>
      </c>
      <c r="C8" s="47" t="s">
        <v>482</v>
      </c>
      <c r="D8" s="48">
        <v>5</v>
      </c>
      <c r="E8" s="54"/>
      <c r="F8" s="54">
        <v>20</v>
      </c>
      <c r="G8" s="54">
        <v>80</v>
      </c>
      <c r="H8" s="54"/>
      <c r="I8" s="54"/>
      <c r="J8" s="53"/>
      <c r="K8" s="53"/>
      <c r="L8" s="53"/>
      <c r="M8" s="53"/>
      <c r="N8" s="53"/>
      <c r="O8" s="53"/>
      <c r="P8" s="53"/>
      <c r="S8" s="31">
        <f t="shared" si="1"/>
        <v>100</v>
      </c>
    </row>
    <row r="9" spans="1:19" x14ac:dyDescent="0.2">
      <c r="A9" s="51" t="str">
        <f t="shared" si="0"/>
        <v>3|8</v>
      </c>
      <c r="B9" s="52" t="s">
        <v>323</v>
      </c>
      <c r="C9" s="47" t="s">
        <v>484</v>
      </c>
      <c r="D9" s="48">
        <v>6</v>
      </c>
      <c r="E9" s="54"/>
      <c r="F9" s="54">
        <v>50</v>
      </c>
      <c r="G9" s="54">
        <v>50</v>
      </c>
      <c r="H9" s="54"/>
      <c r="I9" s="54"/>
      <c r="J9" s="53"/>
      <c r="K9" s="53"/>
      <c r="L9" s="53"/>
      <c r="M9" s="53"/>
      <c r="N9" s="53"/>
      <c r="O9" s="53"/>
      <c r="P9" s="53"/>
      <c r="S9" s="31">
        <f t="shared" si="1"/>
        <v>100</v>
      </c>
    </row>
    <row r="10" spans="1:19" x14ac:dyDescent="0.2">
      <c r="A10" s="51" t="str">
        <f t="shared" si="0"/>
        <v>3|9</v>
      </c>
      <c r="B10" s="52" t="s">
        <v>485</v>
      </c>
      <c r="C10" s="47" t="s">
        <v>486</v>
      </c>
      <c r="D10" s="48">
        <v>6</v>
      </c>
      <c r="E10" s="54">
        <v>30</v>
      </c>
      <c r="F10" s="54">
        <v>40</v>
      </c>
      <c r="G10" s="54">
        <v>30</v>
      </c>
      <c r="H10" s="54"/>
      <c r="I10" s="54"/>
      <c r="J10" s="53"/>
      <c r="K10" s="53"/>
      <c r="L10" s="53"/>
      <c r="M10" s="53"/>
      <c r="N10" s="53"/>
      <c r="O10" s="53"/>
      <c r="P10" s="53"/>
      <c r="S10" s="31">
        <f t="shared" si="1"/>
        <v>100</v>
      </c>
    </row>
    <row r="11" spans="1:19" x14ac:dyDescent="0.2">
      <c r="A11" s="51" t="str">
        <f t="shared" si="0"/>
        <v>3|10</v>
      </c>
      <c r="B11" s="52" t="s">
        <v>487</v>
      </c>
      <c r="C11" s="47" t="s">
        <v>476</v>
      </c>
      <c r="D11" s="48"/>
      <c r="E11" s="54">
        <v>60</v>
      </c>
      <c r="F11" s="54">
        <v>40</v>
      </c>
      <c r="G11" s="54"/>
      <c r="H11" s="54"/>
      <c r="I11" s="54"/>
      <c r="J11" s="53"/>
      <c r="K11" s="53"/>
      <c r="L11" s="53"/>
      <c r="M11" s="53"/>
      <c r="N11" s="53"/>
      <c r="O11" s="53"/>
      <c r="P11" s="53"/>
      <c r="S11" s="31">
        <f t="shared" si="1"/>
        <v>100</v>
      </c>
    </row>
    <row r="12" spans="1:19" x14ac:dyDescent="0.2">
      <c r="A12" s="51" t="str">
        <f t="shared" si="0"/>
        <v>3|11</v>
      </c>
      <c r="B12" s="52" t="s">
        <v>736</v>
      </c>
      <c r="C12" s="47" t="s">
        <v>772</v>
      </c>
      <c r="D12" s="48"/>
      <c r="E12" s="54">
        <v>15</v>
      </c>
      <c r="F12" s="54">
        <v>60</v>
      </c>
      <c r="G12" s="54">
        <v>25</v>
      </c>
      <c r="H12" s="54"/>
      <c r="I12" s="54"/>
      <c r="J12" s="53"/>
      <c r="K12" s="53"/>
      <c r="L12" s="53"/>
      <c r="M12" s="53"/>
      <c r="N12" s="53"/>
      <c r="O12" s="53"/>
      <c r="P12" s="53"/>
      <c r="S12" s="31">
        <f t="shared" si="1"/>
        <v>100</v>
      </c>
    </row>
    <row r="13" spans="1:19" ht="5.45" customHeight="1" x14ac:dyDescent="0.2"/>
    <row r="14" spans="1:19" ht="13.5" thickBot="1" x14ac:dyDescent="0.25">
      <c r="A14" s="55" t="s">
        <v>80</v>
      </c>
      <c r="B14" s="56">
        <v>4</v>
      </c>
      <c r="C14" s="57"/>
      <c r="D14" s="58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</row>
    <row r="15" spans="1:19" ht="13.5" thickTop="1" x14ac:dyDescent="0.2">
      <c r="A15" s="59" t="str">
        <f>CONCATENATE($B$14,"|",B15)</f>
        <v>4|1</v>
      </c>
      <c r="B15" s="46">
        <v>1</v>
      </c>
      <c r="C15" s="47" t="s">
        <v>477</v>
      </c>
      <c r="D15" s="48">
        <v>1</v>
      </c>
      <c r="E15" s="49">
        <v>45</v>
      </c>
      <c r="F15" s="49">
        <v>45</v>
      </c>
      <c r="G15" s="49">
        <v>10</v>
      </c>
      <c r="H15" s="49"/>
      <c r="I15" s="49"/>
      <c r="J15" s="50"/>
      <c r="K15" s="50"/>
      <c r="L15" s="50"/>
      <c r="M15" s="50"/>
      <c r="N15" s="50"/>
      <c r="O15" s="50"/>
      <c r="P15" s="50"/>
      <c r="S15" s="31">
        <f>SUM(E15:P15)</f>
        <v>100</v>
      </c>
    </row>
    <row r="16" spans="1:19" x14ac:dyDescent="0.2">
      <c r="A16" s="51" t="str">
        <f t="shared" ref="A16:A25" si="2">CONCATENATE($B$14,"|",B16)</f>
        <v>4|2</v>
      </c>
      <c r="B16" s="52" t="s">
        <v>190</v>
      </c>
      <c r="C16" s="47" t="s">
        <v>473</v>
      </c>
      <c r="D16" s="48">
        <v>2</v>
      </c>
      <c r="E16" s="49">
        <v>40</v>
      </c>
      <c r="F16" s="49">
        <v>40</v>
      </c>
      <c r="G16" s="49">
        <v>20</v>
      </c>
      <c r="H16" s="49"/>
      <c r="I16" s="49"/>
      <c r="J16" s="53"/>
      <c r="K16" s="53"/>
      <c r="L16" s="53"/>
      <c r="M16" s="53"/>
      <c r="N16" s="53"/>
      <c r="O16" s="53"/>
      <c r="P16" s="53"/>
      <c r="S16" s="31">
        <f t="shared" ref="S16:S25" si="3">SUM(E16:P16)</f>
        <v>100</v>
      </c>
    </row>
    <row r="17" spans="1:19" x14ac:dyDescent="0.2">
      <c r="A17" s="51" t="str">
        <f t="shared" si="2"/>
        <v>4|3</v>
      </c>
      <c r="B17" s="52" t="s">
        <v>208</v>
      </c>
      <c r="C17" s="47" t="s">
        <v>479</v>
      </c>
      <c r="D17" s="48">
        <v>3</v>
      </c>
      <c r="E17" s="54">
        <v>20</v>
      </c>
      <c r="F17" s="54">
        <v>35</v>
      </c>
      <c r="G17" s="54">
        <v>35</v>
      </c>
      <c r="H17" s="54">
        <v>10</v>
      </c>
      <c r="I17" s="54"/>
      <c r="J17" s="53"/>
      <c r="K17" s="53"/>
      <c r="L17" s="53"/>
      <c r="M17" s="53"/>
      <c r="N17" s="53"/>
      <c r="O17" s="53"/>
      <c r="P17" s="53"/>
      <c r="S17" s="31">
        <f t="shared" si="3"/>
        <v>100</v>
      </c>
    </row>
    <row r="18" spans="1:19" x14ac:dyDescent="0.2">
      <c r="A18" s="51" t="str">
        <f t="shared" si="2"/>
        <v>4|4</v>
      </c>
      <c r="B18" s="52" t="s">
        <v>226</v>
      </c>
      <c r="C18" s="47" t="s">
        <v>474</v>
      </c>
      <c r="D18" s="48">
        <v>4</v>
      </c>
      <c r="E18" s="54"/>
      <c r="F18" s="54">
        <v>35</v>
      </c>
      <c r="G18" s="54">
        <v>35</v>
      </c>
      <c r="H18" s="54">
        <v>30</v>
      </c>
      <c r="I18" s="54"/>
      <c r="J18" s="53"/>
      <c r="K18" s="53"/>
      <c r="L18" s="53"/>
      <c r="M18" s="53"/>
      <c r="N18" s="53"/>
      <c r="O18" s="53"/>
      <c r="P18" s="53"/>
      <c r="S18" s="31">
        <f t="shared" si="3"/>
        <v>100</v>
      </c>
    </row>
    <row r="19" spans="1:19" x14ac:dyDescent="0.2">
      <c r="A19" s="51" t="str">
        <f t="shared" si="2"/>
        <v>4|5</v>
      </c>
      <c r="B19" s="52" t="s">
        <v>189</v>
      </c>
      <c r="C19" s="47" t="s">
        <v>475</v>
      </c>
      <c r="D19" s="48">
        <v>5</v>
      </c>
      <c r="E19" s="54">
        <v>10</v>
      </c>
      <c r="F19" s="54">
        <v>35</v>
      </c>
      <c r="G19" s="54">
        <v>35</v>
      </c>
      <c r="H19" s="54">
        <v>20</v>
      </c>
      <c r="I19" s="54"/>
      <c r="J19" s="53"/>
      <c r="K19" s="53"/>
      <c r="L19" s="53"/>
      <c r="M19" s="53"/>
      <c r="N19" s="53"/>
      <c r="O19" s="53"/>
      <c r="P19" s="53"/>
      <c r="S19" s="31">
        <f t="shared" si="3"/>
        <v>100</v>
      </c>
    </row>
    <row r="20" spans="1:19" x14ac:dyDescent="0.2">
      <c r="A20" s="51" t="str">
        <f t="shared" si="2"/>
        <v>4|6</v>
      </c>
      <c r="B20" s="52" t="s">
        <v>228</v>
      </c>
      <c r="C20" s="47" t="s">
        <v>481</v>
      </c>
      <c r="D20" s="48">
        <v>3</v>
      </c>
      <c r="E20" s="54"/>
      <c r="F20" s="54">
        <v>35</v>
      </c>
      <c r="G20" s="54">
        <v>35</v>
      </c>
      <c r="H20" s="54">
        <v>30</v>
      </c>
      <c r="I20" s="54"/>
      <c r="J20" s="53"/>
      <c r="K20" s="53"/>
      <c r="L20" s="53"/>
      <c r="M20" s="53"/>
      <c r="N20" s="53"/>
      <c r="O20" s="53"/>
      <c r="P20" s="53"/>
      <c r="S20" s="31">
        <f t="shared" si="3"/>
        <v>100</v>
      </c>
    </row>
    <row r="21" spans="1:19" x14ac:dyDescent="0.2">
      <c r="A21" s="51" t="str">
        <f t="shared" si="2"/>
        <v>4|7</v>
      </c>
      <c r="B21" s="52" t="s">
        <v>456</v>
      </c>
      <c r="C21" s="47" t="s">
        <v>482</v>
      </c>
      <c r="D21" s="48">
        <v>5</v>
      </c>
      <c r="E21" s="54"/>
      <c r="F21" s="54">
        <v>15</v>
      </c>
      <c r="G21" s="54">
        <v>60</v>
      </c>
      <c r="H21" s="54">
        <v>25</v>
      </c>
      <c r="I21" s="54"/>
      <c r="J21" s="53"/>
      <c r="K21" s="53"/>
      <c r="L21" s="53"/>
      <c r="M21" s="53"/>
      <c r="N21" s="53"/>
      <c r="O21" s="53"/>
      <c r="P21" s="53"/>
      <c r="S21" s="31">
        <f t="shared" si="3"/>
        <v>100</v>
      </c>
    </row>
    <row r="22" spans="1:19" x14ac:dyDescent="0.2">
      <c r="A22" s="51" t="str">
        <f t="shared" si="2"/>
        <v>4|8</v>
      </c>
      <c r="B22" s="52" t="s">
        <v>323</v>
      </c>
      <c r="C22" s="47" t="s">
        <v>484</v>
      </c>
      <c r="D22" s="48">
        <v>6</v>
      </c>
      <c r="E22" s="54"/>
      <c r="F22" s="54">
        <v>30</v>
      </c>
      <c r="G22" s="54">
        <v>40</v>
      </c>
      <c r="H22" s="54">
        <v>30</v>
      </c>
      <c r="I22" s="54"/>
      <c r="J22" s="53"/>
      <c r="K22" s="53"/>
      <c r="L22" s="53"/>
      <c r="M22" s="53"/>
      <c r="N22" s="53"/>
      <c r="O22" s="53"/>
      <c r="P22" s="53"/>
      <c r="S22" s="31">
        <f t="shared" si="3"/>
        <v>100</v>
      </c>
    </row>
    <row r="23" spans="1:19" x14ac:dyDescent="0.2">
      <c r="A23" s="51" t="str">
        <f t="shared" si="2"/>
        <v>4|9</v>
      </c>
      <c r="B23" s="52" t="s">
        <v>485</v>
      </c>
      <c r="C23" s="47" t="s">
        <v>486</v>
      </c>
      <c r="D23" s="48">
        <v>6</v>
      </c>
      <c r="E23" s="54">
        <v>10</v>
      </c>
      <c r="F23" s="54">
        <v>35</v>
      </c>
      <c r="G23" s="54">
        <v>35</v>
      </c>
      <c r="H23" s="54">
        <v>20</v>
      </c>
      <c r="I23" s="54"/>
      <c r="J23" s="53"/>
      <c r="K23" s="53"/>
      <c r="L23" s="53"/>
      <c r="M23" s="53"/>
      <c r="N23" s="53"/>
      <c r="O23" s="53"/>
      <c r="P23" s="53"/>
      <c r="S23" s="31">
        <f t="shared" si="3"/>
        <v>100</v>
      </c>
    </row>
    <row r="24" spans="1:19" x14ac:dyDescent="0.2">
      <c r="A24" s="51" t="str">
        <f t="shared" si="2"/>
        <v>4|10</v>
      </c>
      <c r="B24" s="52" t="s">
        <v>487</v>
      </c>
      <c r="C24" s="47" t="s">
        <v>476</v>
      </c>
      <c r="D24" s="48"/>
      <c r="E24" s="54">
        <v>40</v>
      </c>
      <c r="F24" s="54">
        <v>40</v>
      </c>
      <c r="G24" s="54">
        <v>20</v>
      </c>
      <c r="H24" s="54"/>
      <c r="I24" s="54"/>
      <c r="J24" s="53"/>
      <c r="K24" s="53"/>
      <c r="L24" s="53"/>
      <c r="M24" s="53"/>
      <c r="N24" s="53"/>
      <c r="O24" s="53"/>
      <c r="P24" s="53"/>
      <c r="S24" s="31">
        <f t="shared" si="3"/>
        <v>100</v>
      </c>
    </row>
    <row r="25" spans="1:19" x14ac:dyDescent="0.2">
      <c r="A25" s="60" t="str">
        <f t="shared" si="2"/>
        <v>4|11</v>
      </c>
      <c r="B25" s="52" t="s">
        <v>736</v>
      </c>
      <c r="C25" s="47" t="s">
        <v>772</v>
      </c>
      <c r="D25" s="48"/>
      <c r="E25" s="54">
        <v>10</v>
      </c>
      <c r="F25" s="54">
        <v>35</v>
      </c>
      <c r="G25" s="54">
        <v>35</v>
      </c>
      <c r="H25" s="54">
        <v>20</v>
      </c>
      <c r="I25" s="54"/>
      <c r="J25" s="53"/>
      <c r="K25" s="53"/>
      <c r="L25" s="53"/>
      <c r="M25" s="53"/>
      <c r="N25" s="53"/>
      <c r="O25" s="53"/>
      <c r="P25" s="53"/>
      <c r="S25" s="31">
        <f t="shared" si="3"/>
        <v>100</v>
      </c>
    </row>
    <row r="26" spans="1:19" ht="5.45" customHeight="1" x14ac:dyDescent="0.2"/>
    <row r="27" spans="1:19" ht="13.5" thickBot="1" x14ac:dyDescent="0.25">
      <c r="A27" s="55" t="s">
        <v>80</v>
      </c>
      <c r="B27" s="56">
        <v>5</v>
      </c>
      <c r="C27" s="57"/>
      <c r="D27" s="58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</row>
    <row r="28" spans="1:19" ht="13.5" thickTop="1" x14ac:dyDescent="0.2">
      <c r="A28" s="59" t="str">
        <f>CONCATENATE($B$27,"|",B28)</f>
        <v>5|1</v>
      </c>
      <c r="B28" s="46">
        <v>1</v>
      </c>
      <c r="C28" s="47" t="s">
        <v>477</v>
      </c>
      <c r="D28" s="48">
        <v>1</v>
      </c>
      <c r="E28" s="49">
        <v>40</v>
      </c>
      <c r="F28" s="49">
        <v>30</v>
      </c>
      <c r="G28" s="49">
        <v>25</v>
      </c>
      <c r="H28" s="49">
        <v>5</v>
      </c>
      <c r="I28" s="49"/>
      <c r="J28" s="50"/>
      <c r="K28" s="50"/>
      <c r="L28" s="50"/>
      <c r="M28" s="50"/>
      <c r="N28" s="50"/>
      <c r="O28" s="50"/>
      <c r="P28" s="50"/>
      <c r="S28" s="31">
        <f>SUM(E28:P28)</f>
        <v>100</v>
      </c>
    </row>
    <row r="29" spans="1:19" x14ac:dyDescent="0.2">
      <c r="A29" s="51" t="str">
        <f t="shared" ref="A29:A38" si="4">CONCATENATE($B$27,"|",B29)</f>
        <v>5|2</v>
      </c>
      <c r="B29" s="52" t="s">
        <v>190</v>
      </c>
      <c r="C29" s="47" t="s">
        <v>473</v>
      </c>
      <c r="D29" s="48">
        <v>2</v>
      </c>
      <c r="E29" s="49">
        <v>30</v>
      </c>
      <c r="F29" s="49">
        <v>30</v>
      </c>
      <c r="G29" s="49">
        <v>30</v>
      </c>
      <c r="H29" s="49">
        <v>10</v>
      </c>
      <c r="I29" s="49"/>
      <c r="J29" s="53"/>
      <c r="K29" s="53"/>
      <c r="L29" s="53"/>
      <c r="M29" s="53"/>
      <c r="N29" s="53"/>
      <c r="O29" s="53"/>
      <c r="P29" s="53"/>
      <c r="S29" s="31">
        <f t="shared" ref="S29:S38" si="5">SUM(E29:P29)</f>
        <v>100</v>
      </c>
    </row>
    <row r="30" spans="1:19" x14ac:dyDescent="0.2">
      <c r="A30" s="51" t="str">
        <f t="shared" si="4"/>
        <v>5|3</v>
      </c>
      <c r="B30" s="52" t="s">
        <v>208</v>
      </c>
      <c r="C30" s="47" t="s">
        <v>479</v>
      </c>
      <c r="D30" s="48">
        <v>3</v>
      </c>
      <c r="E30" s="54">
        <v>10</v>
      </c>
      <c r="F30" s="54">
        <v>30</v>
      </c>
      <c r="G30" s="54">
        <v>30</v>
      </c>
      <c r="H30" s="54">
        <v>25</v>
      </c>
      <c r="I30" s="54">
        <v>5</v>
      </c>
      <c r="J30" s="53"/>
      <c r="K30" s="53"/>
      <c r="L30" s="53"/>
      <c r="M30" s="53"/>
      <c r="N30" s="53"/>
      <c r="O30" s="53"/>
      <c r="P30" s="53"/>
      <c r="S30" s="31">
        <f t="shared" si="5"/>
        <v>100</v>
      </c>
    </row>
    <row r="31" spans="1:19" x14ac:dyDescent="0.2">
      <c r="A31" s="51" t="str">
        <f t="shared" si="4"/>
        <v>5|4</v>
      </c>
      <c r="B31" s="52" t="s">
        <v>226</v>
      </c>
      <c r="C31" s="47" t="s">
        <v>474</v>
      </c>
      <c r="D31" s="48">
        <v>4</v>
      </c>
      <c r="E31" s="54"/>
      <c r="F31" s="54">
        <v>15</v>
      </c>
      <c r="G31" s="54">
        <v>30</v>
      </c>
      <c r="H31" s="54">
        <v>30</v>
      </c>
      <c r="I31" s="54">
        <v>25</v>
      </c>
      <c r="J31" s="53"/>
      <c r="K31" s="53"/>
      <c r="L31" s="53"/>
      <c r="M31" s="53"/>
      <c r="N31" s="53"/>
      <c r="O31" s="53"/>
      <c r="P31" s="53"/>
      <c r="S31" s="31">
        <f t="shared" si="5"/>
        <v>100</v>
      </c>
    </row>
    <row r="32" spans="1:19" x14ac:dyDescent="0.2">
      <c r="A32" s="51" t="str">
        <f t="shared" si="4"/>
        <v>5|5</v>
      </c>
      <c r="B32" s="52" t="s">
        <v>189</v>
      </c>
      <c r="C32" s="47" t="s">
        <v>475</v>
      </c>
      <c r="D32" s="48">
        <v>5</v>
      </c>
      <c r="E32" s="54"/>
      <c r="F32" s="54">
        <v>25</v>
      </c>
      <c r="G32" s="54">
        <v>35</v>
      </c>
      <c r="H32" s="54">
        <v>35</v>
      </c>
      <c r="I32" s="54">
        <v>5</v>
      </c>
      <c r="J32" s="53"/>
      <c r="K32" s="53"/>
      <c r="L32" s="53"/>
      <c r="M32" s="53"/>
      <c r="N32" s="53"/>
      <c r="O32" s="53"/>
      <c r="P32" s="53"/>
      <c r="S32" s="31">
        <f t="shared" si="5"/>
        <v>100</v>
      </c>
    </row>
    <row r="33" spans="1:19" x14ac:dyDescent="0.2">
      <c r="A33" s="51" t="str">
        <f t="shared" si="4"/>
        <v>5|6</v>
      </c>
      <c r="B33" s="52" t="s">
        <v>228</v>
      </c>
      <c r="C33" s="47" t="s">
        <v>481</v>
      </c>
      <c r="D33" s="48">
        <v>3</v>
      </c>
      <c r="E33" s="54"/>
      <c r="F33" s="54">
        <v>5</v>
      </c>
      <c r="G33" s="54">
        <v>40</v>
      </c>
      <c r="H33" s="54">
        <v>30</v>
      </c>
      <c r="I33" s="54">
        <v>25</v>
      </c>
      <c r="J33" s="53"/>
      <c r="K33" s="53"/>
      <c r="L33" s="53"/>
      <c r="M33" s="53"/>
      <c r="N33" s="53"/>
      <c r="O33" s="53"/>
      <c r="P33" s="53"/>
      <c r="S33" s="31">
        <f t="shared" si="5"/>
        <v>100</v>
      </c>
    </row>
    <row r="34" spans="1:19" x14ac:dyDescent="0.2">
      <c r="A34" s="51" t="str">
        <f t="shared" si="4"/>
        <v>5|7</v>
      </c>
      <c r="B34" s="52" t="s">
        <v>456</v>
      </c>
      <c r="C34" s="47" t="s">
        <v>482</v>
      </c>
      <c r="D34" s="48">
        <v>5</v>
      </c>
      <c r="E34" s="54"/>
      <c r="F34" s="54">
        <v>10</v>
      </c>
      <c r="G34" s="54">
        <v>35</v>
      </c>
      <c r="H34" s="54">
        <v>35</v>
      </c>
      <c r="I34" s="54">
        <v>20</v>
      </c>
      <c r="J34" s="53"/>
      <c r="K34" s="53"/>
      <c r="L34" s="53"/>
      <c r="M34" s="53"/>
      <c r="N34" s="53"/>
      <c r="O34" s="53"/>
      <c r="P34" s="53"/>
      <c r="S34" s="31">
        <f t="shared" si="5"/>
        <v>100</v>
      </c>
    </row>
    <row r="35" spans="1:19" x14ac:dyDescent="0.2">
      <c r="A35" s="51" t="str">
        <f t="shared" si="4"/>
        <v>5|8</v>
      </c>
      <c r="B35" s="52" t="s">
        <v>323</v>
      </c>
      <c r="C35" s="47" t="s">
        <v>484</v>
      </c>
      <c r="D35" s="48">
        <v>6</v>
      </c>
      <c r="E35" s="54"/>
      <c r="F35" s="54">
        <v>10</v>
      </c>
      <c r="G35" s="54">
        <v>35</v>
      </c>
      <c r="H35" s="54">
        <v>35</v>
      </c>
      <c r="I35" s="54">
        <v>20</v>
      </c>
      <c r="J35" s="53"/>
      <c r="K35" s="53"/>
      <c r="L35" s="53"/>
      <c r="M35" s="53"/>
      <c r="N35" s="53"/>
      <c r="O35" s="53"/>
      <c r="P35" s="53"/>
      <c r="S35" s="31">
        <f t="shared" si="5"/>
        <v>100</v>
      </c>
    </row>
    <row r="36" spans="1:19" x14ac:dyDescent="0.2">
      <c r="A36" s="51" t="str">
        <f t="shared" si="4"/>
        <v>5|9</v>
      </c>
      <c r="B36" s="52" t="s">
        <v>485</v>
      </c>
      <c r="C36" s="47" t="s">
        <v>486</v>
      </c>
      <c r="D36" s="48">
        <v>6</v>
      </c>
      <c r="E36" s="54">
        <v>5</v>
      </c>
      <c r="F36" s="54">
        <v>25</v>
      </c>
      <c r="G36" s="54">
        <v>25</v>
      </c>
      <c r="H36" s="54">
        <v>25</v>
      </c>
      <c r="I36" s="54">
        <v>20</v>
      </c>
      <c r="J36" s="53"/>
      <c r="K36" s="53"/>
      <c r="L36" s="53"/>
      <c r="M36" s="53"/>
      <c r="N36" s="53"/>
      <c r="O36" s="53"/>
      <c r="P36" s="53"/>
      <c r="S36" s="31">
        <f t="shared" si="5"/>
        <v>100</v>
      </c>
    </row>
    <row r="37" spans="1:19" x14ac:dyDescent="0.2">
      <c r="A37" s="51" t="str">
        <f t="shared" si="4"/>
        <v>5|10</v>
      </c>
      <c r="B37" s="52" t="s">
        <v>487</v>
      </c>
      <c r="C37" s="47" t="s">
        <v>476</v>
      </c>
      <c r="D37" s="48"/>
      <c r="E37" s="54">
        <v>25</v>
      </c>
      <c r="F37" s="54">
        <v>30</v>
      </c>
      <c r="G37" s="54">
        <v>30</v>
      </c>
      <c r="H37" s="54">
        <v>15</v>
      </c>
      <c r="I37" s="54"/>
      <c r="J37" s="53"/>
      <c r="K37" s="53"/>
      <c r="L37" s="53"/>
      <c r="M37" s="53"/>
      <c r="N37" s="53"/>
      <c r="O37" s="53"/>
      <c r="P37" s="53"/>
      <c r="S37" s="31">
        <f t="shared" si="5"/>
        <v>100</v>
      </c>
    </row>
    <row r="38" spans="1:19" x14ac:dyDescent="0.2">
      <c r="A38" s="51" t="str">
        <f t="shared" si="4"/>
        <v>5|11</v>
      </c>
      <c r="B38" s="52" t="s">
        <v>736</v>
      </c>
      <c r="C38" s="47" t="s">
        <v>772</v>
      </c>
      <c r="D38" s="48"/>
      <c r="E38" s="54">
        <v>7</v>
      </c>
      <c r="F38" s="54">
        <v>21</v>
      </c>
      <c r="G38" s="54">
        <v>27</v>
      </c>
      <c r="H38" s="54">
        <v>28</v>
      </c>
      <c r="I38" s="54">
        <v>17</v>
      </c>
      <c r="J38" s="53"/>
      <c r="K38" s="53"/>
      <c r="L38" s="53"/>
      <c r="M38" s="53"/>
      <c r="N38" s="53"/>
      <c r="O38" s="53"/>
      <c r="P38" s="53"/>
      <c r="S38" s="31">
        <f t="shared" si="5"/>
        <v>100</v>
      </c>
    </row>
    <row r="39" spans="1:19" ht="5.45" customHeight="1" x14ac:dyDescent="0.2"/>
    <row r="40" spans="1:19" ht="13.5" thickBot="1" x14ac:dyDescent="0.25">
      <c r="A40" s="55" t="s">
        <v>80</v>
      </c>
      <c r="B40" s="56">
        <v>6</v>
      </c>
      <c r="C40" s="57"/>
      <c r="D40" s="58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</row>
    <row r="41" spans="1:19" ht="13.5" thickTop="1" x14ac:dyDescent="0.2">
      <c r="A41" s="59" t="str">
        <f>CONCATENATE($B$40,"|",B41)</f>
        <v>6|1</v>
      </c>
      <c r="B41" s="46">
        <v>1</v>
      </c>
      <c r="C41" s="47" t="s">
        <v>477</v>
      </c>
      <c r="D41" s="48">
        <v>1</v>
      </c>
      <c r="E41" s="49">
        <v>20</v>
      </c>
      <c r="F41" s="49">
        <v>30</v>
      </c>
      <c r="G41" s="49">
        <v>30</v>
      </c>
      <c r="H41" s="49">
        <v>20</v>
      </c>
      <c r="I41" s="49"/>
      <c r="J41" s="50"/>
      <c r="K41" s="50"/>
      <c r="L41" s="50"/>
      <c r="M41" s="50"/>
      <c r="N41" s="50"/>
      <c r="O41" s="50"/>
      <c r="P41" s="50"/>
      <c r="S41" s="31">
        <f>SUM(E41:P41)</f>
        <v>100</v>
      </c>
    </row>
    <row r="42" spans="1:19" x14ac:dyDescent="0.2">
      <c r="A42" s="51" t="str">
        <f>CONCATENATE($B$40,"|",B42)</f>
        <v>6|2</v>
      </c>
      <c r="B42" s="52" t="s">
        <v>190</v>
      </c>
      <c r="C42" s="47" t="s">
        <v>473</v>
      </c>
      <c r="D42" s="48">
        <v>2</v>
      </c>
      <c r="E42" s="49">
        <v>15</v>
      </c>
      <c r="F42" s="49">
        <v>25</v>
      </c>
      <c r="G42" s="49">
        <v>30</v>
      </c>
      <c r="H42" s="49">
        <v>25</v>
      </c>
      <c r="I42" s="49">
        <v>5</v>
      </c>
      <c r="J42" s="53"/>
      <c r="K42" s="53"/>
      <c r="L42" s="53"/>
      <c r="M42" s="53"/>
      <c r="N42" s="53"/>
      <c r="O42" s="53"/>
      <c r="P42" s="53"/>
      <c r="S42" s="31">
        <f t="shared" ref="S42:S51" si="6">SUM(E42:P42)</f>
        <v>100</v>
      </c>
    </row>
    <row r="43" spans="1:19" x14ac:dyDescent="0.2">
      <c r="A43" s="51" t="str">
        <f t="shared" ref="A43:A51" si="7">CONCATENATE($B$40,"|",B43)</f>
        <v>6|3</v>
      </c>
      <c r="B43" s="52" t="s">
        <v>208</v>
      </c>
      <c r="C43" s="47" t="s">
        <v>479</v>
      </c>
      <c r="D43" s="48">
        <v>3</v>
      </c>
      <c r="E43" s="54">
        <v>5</v>
      </c>
      <c r="F43" s="54">
        <v>20</v>
      </c>
      <c r="G43" s="54">
        <v>30</v>
      </c>
      <c r="H43" s="54">
        <v>25</v>
      </c>
      <c r="I43" s="54">
        <v>20</v>
      </c>
      <c r="J43" s="53"/>
      <c r="K43" s="53"/>
      <c r="L43" s="53"/>
      <c r="M43" s="53"/>
      <c r="N43" s="53"/>
      <c r="O43" s="53"/>
      <c r="P43" s="53"/>
      <c r="S43" s="31">
        <f t="shared" si="6"/>
        <v>100</v>
      </c>
    </row>
    <row r="44" spans="1:19" x14ac:dyDescent="0.2">
      <c r="A44" s="51" t="str">
        <f t="shared" si="7"/>
        <v>6|4</v>
      </c>
      <c r="B44" s="52" t="s">
        <v>226</v>
      </c>
      <c r="C44" s="47" t="s">
        <v>474</v>
      </c>
      <c r="D44" s="48">
        <v>4</v>
      </c>
      <c r="E44" s="54"/>
      <c r="F44" s="54">
        <v>5</v>
      </c>
      <c r="G44" s="54">
        <v>20</v>
      </c>
      <c r="H44" s="54">
        <v>30</v>
      </c>
      <c r="I44" s="54">
        <v>25</v>
      </c>
      <c r="J44" s="53">
        <v>20</v>
      </c>
      <c r="K44" s="53"/>
      <c r="L44" s="53"/>
      <c r="M44" s="53"/>
      <c r="N44" s="53"/>
      <c r="O44" s="53"/>
      <c r="P44" s="53"/>
      <c r="S44" s="31">
        <f t="shared" si="6"/>
        <v>100</v>
      </c>
    </row>
    <row r="45" spans="1:19" x14ac:dyDescent="0.2">
      <c r="A45" s="51" t="str">
        <f t="shared" si="7"/>
        <v>6|5</v>
      </c>
      <c r="B45" s="52" t="s">
        <v>189</v>
      </c>
      <c r="C45" s="47" t="s">
        <v>475</v>
      </c>
      <c r="D45" s="48">
        <v>5</v>
      </c>
      <c r="E45" s="54"/>
      <c r="F45" s="54">
        <v>15</v>
      </c>
      <c r="G45" s="54">
        <v>30</v>
      </c>
      <c r="H45" s="54">
        <v>30</v>
      </c>
      <c r="I45" s="54">
        <v>25</v>
      </c>
      <c r="J45" s="53"/>
      <c r="K45" s="53"/>
      <c r="L45" s="53"/>
      <c r="M45" s="53"/>
      <c r="N45" s="53"/>
      <c r="O45" s="53"/>
      <c r="P45" s="53"/>
      <c r="S45" s="31">
        <f t="shared" si="6"/>
        <v>100</v>
      </c>
    </row>
    <row r="46" spans="1:19" x14ac:dyDescent="0.2">
      <c r="A46" s="51" t="str">
        <f t="shared" si="7"/>
        <v>6|6</v>
      </c>
      <c r="B46" s="52" t="s">
        <v>228</v>
      </c>
      <c r="C46" s="47" t="s">
        <v>481</v>
      </c>
      <c r="D46" s="48">
        <v>3</v>
      </c>
      <c r="E46" s="54"/>
      <c r="F46" s="54">
        <v>5</v>
      </c>
      <c r="G46" s="54">
        <v>10</v>
      </c>
      <c r="H46" s="54">
        <v>30</v>
      </c>
      <c r="I46" s="54">
        <v>30</v>
      </c>
      <c r="J46" s="53">
        <v>25</v>
      </c>
      <c r="K46" s="53"/>
      <c r="L46" s="53"/>
      <c r="M46" s="53"/>
      <c r="N46" s="53"/>
      <c r="O46" s="53"/>
      <c r="P46" s="53"/>
      <c r="S46" s="31">
        <f t="shared" si="6"/>
        <v>100</v>
      </c>
    </row>
    <row r="47" spans="1:19" x14ac:dyDescent="0.2">
      <c r="A47" s="51" t="str">
        <f t="shared" si="7"/>
        <v>6|7</v>
      </c>
      <c r="B47" s="52" t="s">
        <v>456</v>
      </c>
      <c r="C47" s="47" t="s">
        <v>482</v>
      </c>
      <c r="D47" s="48">
        <v>5</v>
      </c>
      <c r="E47" s="54"/>
      <c r="F47" s="54"/>
      <c r="G47" s="54">
        <v>20</v>
      </c>
      <c r="H47" s="54">
        <v>20</v>
      </c>
      <c r="I47" s="54">
        <v>30</v>
      </c>
      <c r="J47" s="53">
        <v>30</v>
      </c>
      <c r="K47" s="53"/>
      <c r="L47" s="53"/>
      <c r="M47" s="53"/>
      <c r="N47" s="53"/>
      <c r="O47" s="53"/>
      <c r="P47" s="53"/>
      <c r="S47" s="31">
        <f t="shared" si="6"/>
        <v>100</v>
      </c>
    </row>
    <row r="48" spans="1:19" x14ac:dyDescent="0.2">
      <c r="A48" s="51" t="str">
        <f t="shared" si="7"/>
        <v>6|8</v>
      </c>
      <c r="B48" s="52" t="s">
        <v>323</v>
      </c>
      <c r="C48" s="47" t="s">
        <v>484</v>
      </c>
      <c r="D48" s="48">
        <v>6</v>
      </c>
      <c r="E48" s="54"/>
      <c r="F48" s="54"/>
      <c r="G48" s="54">
        <v>20</v>
      </c>
      <c r="H48" s="54">
        <v>30</v>
      </c>
      <c r="I48" s="54">
        <v>30</v>
      </c>
      <c r="J48" s="53">
        <v>20</v>
      </c>
      <c r="K48" s="53"/>
      <c r="L48" s="53"/>
      <c r="M48" s="53"/>
      <c r="N48" s="53"/>
      <c r="O48" s="53"/>
      <c r="P48" s="53"/>
      <c r="S48" s="31">
        <f t="shared" si="6"/>
        <v>100</v>
      </c>
    </row>
    <row r="49" spans="1:19" x14ac:dyDescent="0.2">
      <c r="A49" s="51" t="str">
        <f t="shared" si="7"/>
        <v>6|9</v>
      </c>
      <c r="B49" s="52" t="s">
        <v>485</v>
      </c>
      <c r="C49" s="47" t="s">
        <v>486</v>
      </c>
      <c r="D49" s="48">
        <v>6</v>
      </c>
      <c r="E49" s="54">
        <v>5</v>
      </c>
      <c r="F49" s="54">
        <v>15</v>
      </c>
      <c r="G49" s="54">
        <v>25</v>
      </c>
      <c r="H49" s="54">
        <v>25</v>
      </c>
      <c r="I49" s="54">
        <v>20</v>
      </c>
      <c r="J49" s="53">
        <v>10</v>
      </c>
      <c r="K49" s="53"/>
      <c r="L49" s="53"/>
      <c r="M49" s="53"/>
      <c r="N49" s="53"/>
      <c r="O49" s="53"/>
      <c r="P49" s="53"/>
      <c r="S49" s="31">
        <f t="shared" si="6"/>
        <v>100</v>
      </c>
    </row>
    <row r="50" spans="1:19" x14ac:dyDescent="0.2">
      <c r="A50" s="51" t="str">
        <f t="shared" si="7"/>
        <v>6|10</v>
      </c>
      <c r="B50" s="52" t="s">
        <v>487</v>
      </c>
      <c r="C50" s="47" t="s">
        <v>476</v>
      </c>
      <c r="D50" s="48"/>
      <c r="E50" s="54">
        <v>20</v>
      </c>
      <c r="F50" s="54">
        <v>30</v>
      </c>
      <c r="G50" s="54">
        <v>30</v>
      </c>
      <c r="H50" s="54">
        <v>15</v>
      </c>
      <c r="I50" s="54">
        <v>5</v>
      </c>
      <c r="J50" s="53"/>
      <c r="K50" s="53"/>
      <c r="L50" s="53"/>
      <c r="M50" s="53"/>
      <c r="N50" s="53"/>
      <c r="O50" s="53"/>
      <c r="P50" s="53"/>
      <c r="S50" s="31">
        <f t="shared" si="6"/>
        <v>100</v>
      </c>
    </row>
    <row r="51" spans="1:19" x14ac:dyDescent="0.2">
      <c r="A51" s="51" t="str">
        <f t="shared" si="7"/>
        <v>6|11</v>
      </c>
      <c r="B51" s="52" t="s">
        <v>736</v>
      </c>
      <c r="C51" s="47" t="s">
        <v>772</v>
      </c>
      <c r="D51" s="48"/>
      <c r="E51" s="54">
        <v>3</v>
      </c>
      <c r="F51" s="54">
        <v>12</v>
      </c>
      <c r="G51" s="54">
        <v>25</v>
      </c>
      <c r="H51" s="54">
        <v>28</v>
      </c>
      <c r="I51" s="54">
        <v>21</v>
      </c>
      <c r="J51" s="53">
        <v>11</v>
      </c>
      <c r="K51" s="53"/>
      <c r="L51" s="53"/>
      <c r="M51" s="53"/>
      <c r="N51" s="53"/>
      <c r="O51" s="53"/>
      <c r="P51" s="53"/>
      <c r="S51" s="31">
        <f t="shared" si="6"/>
        <v>100</v>
      </c>
    </row>
    <row r="52" spans="1:19" ht="5.45" customHeight="1" x14ac:dyDescent="0.2"/>
    <row r="53" spans="1:19" ht="13.5" thickBot="1" x14ac:dyDescent="0.25">
      <c r="A53" s="55" t="s">
        <v>80</v>
      </c>
      <c r="B53" s="56">
        <v>7</v>
      </c>
      <c r="C53" s="57"/>
      <c r="D53" s="58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</row>
    <row r="54" spans="1:19" ht="13.5" thickTop="1" x14ac:dyDescent="0.2">
      <c r="A54" s="59" t="str">
        <f>CONCATENATE($B$53,"|",B54)</f>
        <v>7|1</v>
      </c>
      <c r="B54" s="46">
        <v>1</v>
      </c>
      <c r="C54" s="47" t="s">
        <v>477</v>
      </c>
      <c r="D54" s="48">
        <v>1</v>
      </c>
      <c r="E54" s="49">
        <v>15</v>
      </c>
      <c r="F54" s="49">
        <v>30</v>
      </c>
      <c r="G54" s="49">
        <v>30</v>
      </c>
      <c r="H54" s="49">
        <v>20</v>
      </c>
      <c r="I54" s="49">
        <v>5</v>
      </c>
      <c r="J54" s="50"/>
      <c r="K54" s="50"/>
      <c r="L54" s="50"/>
      <c r="M54" s="50"/>
      <c r="N54" s="50"/>
      <c r="O54" s="50"/>
      <c r="P54" s="50"/>
      <c r="S54" s="31">
        <f>SUM(E54:P54)</f>
        <v>100</v>
      </c>
    </row>
    <row r="55" spans="1:19" x14ac:dyDescent="0.2">
      <c r="A55" s="51" t="str">
        <f>CONCATENATE($B$53,"|",B55)</f>
        <v>7|2</v>
      </c>
      <c r="B55" s="52" t="s">
        <v>190</v>
      </c>
      <c r="C55" s="47" t="s">
        <v>473</v>
      </c>
      <c r="D55" s="48">
        <v>2</v>
      </c>
      <c r="E55" s="49">
        <v>15</v>
      </c>
      <c r="F55" s="49">
        <v>20</v>
      </c>
      <c r="G55" s="49">
        <v>25</v>
      </c>
      <c r="H55" s="49">
        <v>25</v>
      </c>
      <c r="I55" s="49">
        <v>15</v>
      </c>
      <c r="J55" s="53"/>
      <c r="K55" s="53"/>
      <c r="L55" s="53"/>
      <c r="M55" s="53"/>
      <c r="N55" s="53"/>
      <c r="O55" s="53"/>
      <c r="P55" s="53"/>
      <c r="S55" s="31">
        <f t="shared" ref="S55:S64" si="8">SUM(E55:P55)</f>
        <v>100</v>
      </c>
    </row>
    <row r="56" spans="1:19" x14ac:dyDescent="0.2">
      <c r="A56" s="51" t="str">
        <f t="shared" ref="A56:A64" si="9">CONCATENATE($B$53,"|",B56)</f>
        <v>7|3</v>
      </c>
      <c r="B56" s="52" t="s">
        <v>208</v>
      </c>
      <c r="C56" s="47" t="s">
        <v>479</v>
      </c>
      <c r="D56" s="48">
        <v>3</v>
      </c>
      <c r="E56" s="54">
        <v>5</v>
      </c>
      <c r="F56" s="54">
        <v>15</v>
      </c>
      <c r="G56" s="54">
        <v>20</v>
      </c>
      <c r="H56" s="54">
        <v>25</v>
      </c>
      <c r="I56" s="54">
        <v>20</v>
      </c>
      <c r="J56" s="53">
        <v>15</v>
      </c>
      <c r="K56" s="53"/>
      <c r="L56" s="53"/>
      <c r="M56" s="53"/>
      <c r="N56" s="53"/>
      <c r="O56" s="53"/>
      <c r="P56" s="53"/>
      <c r="S56" s="31">
        <f t="shared" si="8"/>
        <v>100</v>
      </c>
    </row>
    <row r="57" spans="1:19" x14ac:dyDescent="0.2">
      <c r="A57" s="51" t="str">
        <f t="shared" si="9"/>
        <v>7|4</v>
      </c>
      <c r="B57" s="52" t="s">
        <v>226</v>
      </c>
      <c r="C57" s="47" t="s">
        <v>474</v>
      </c>
      <c r="D57" s="48">
        <v>4</v>
      </c>
      <c r="E57" s="54"/>
      <c r="F57" s="54"/>
      <c r="G57" s="54">
        <v>15</v>
      </c>
      <c r="H57" s="54">
        <v>25</v>
      </c>
      <c r="I57" s="54">
        <v>25</v>
      </c>
      <c r="J57" s="53">
        <v>25</v>
      </c>
      <c r="K57" s="53">
        <v>10</v>
      </c>
      <c r="L57" s="53"/>
      <c r="M57" s="53"/>
      <c r="N57" s="53"/>
      <c r="O57" s="53"/>
      <c r="P57" s="53"/>
      <c r="S57" s="31">
        <f t="shared" si="8"/>
        <v>100</v>
      </c>
    </row>
    <row r="58" spans="1:19" x14ac:dyDescent="0.2">
      <c r="A58" s="51" t="str">
        <f t="shared" si="9"/>
        <v>7|5</v>
      </c>
      <c r="B58" s="52" t="s">
        <v>189</v>
      </c>
      <c r="C58" s="47" t="s">
        <v>475</v>
      </c>
      <c r="D58" s="48">
        <v>5</v>
      </c>
      <c r="E58" s="54"/>
      <c r="F58" s="54">
        <v>10</v>
      </c>
      <c r="G58" s="54">
        <v>15</v>
      </c>
      <c r="H58" s="54">
        <v>30</v>
      </c>
      <c r="I58" s="54">
        <v>30</v>
      </c>
      <c r="J58" s="53">
        <v>15</v>
      </c>
      <c r="K58" s="53"/>
      <c r="L58" s="53"/>
      <c r="M58" s="53"/>
      <c r="N58" s="53"/>
      <c r="O58" s="53"/>
      <c r="P58" s="53"/>
      <c r="S58" s="31">
        <f t="shared" si="8"/>
        <v>100</v>
      </c>
    </row>
    <row r="59" spans="1:19" x14ac:dyDescent="0.2">
      <c r="A59" s="51" t="str">
        <f t="shared" si="9"/>
        <v>7|6</v>
      </c>
      <c r="B59" s="52" t="s">
        <v>228</v>
      </c>
      <c r="C59" s="47" t="s">
        <v>481</v>
      </c>
      <c r="D59" s="48">
        <v>3</v>
      </c>
      <c r="E59" s="54"/>
      <c r="F59" s="54">
        <v>5</v>
      </c>
      <c r="G59" s="54">
        <v>10</v>
      </c>
      <c r="H59" s="54">
        <v>25</v>
      </c>
      <c r="I59" s="54">
        <v>25</v>
      </c>
      <c r="J59" s="53">
        <v>20</v>
      </c>
      <c r="K59" s="53">
        <v>15</v>
      </c>
      <c r="L59" s="53"/>
      <c r="M59" s="53"/>
      <c r="N59" s="53"/>
      <c r="O59" s="53"/>
      <c r="P59" s="53"/>
      <c r="S59" s="31">
        <f t="shared" si="8"/>
        <v>100</v>
      </c>
    </row>
    <row r="60" spans="1:19" x14ac:dyDescent="0.2">
      <c r="A60" s="51" t="str">
        <f t="shared" si="9"/>
        <v>7|7</v>
      </c>
      <c r="B60" s="52" t="s">
        <v>456</v>
      </c>
      <c r="C60" s="47" t="s">
        <v>482</v>
      </c>
      <c r="D60" s="48">
        <v>5</v>
      </c>
      <c r="E60" s="54"/>
      <c r="F60" s="54"/>
      <c r="G60" s="54">
        <v>15</v>
      </c>
      <c r="H60" s="54">
        <v>15</v>
      </c>
      <c r="I60" s="54">
        <v>25</v>
      </c>
      <c r="J60" s="54">
        <v>25</v>
      </c>
      <c r="K60" s="53">
        <v>20</v>
      </c>
      <c r="L60" s="53"/>
      <c r="M60" s="53"/>
      <c r="N60" s="53"/>
      <c r="O60" s="53"/>
      <c r="P60" s="53"/>
      <c r="S60" s="31">
        <f t="shared" si="8"/>
        <v>100</v>
      </c>
    </row>
    <row r="61" spans="1:19" x14ac:dyDescent="0.2">
      <c r="A61" s="51" t="str">
        <f t="shared" si="9"/>
        <v>7|8</v>
      </c>
      <c r="B61" s="52" t="s">
        <v>323</v>
      </c>
      <c r="C61" s="47" t="s">
        <v>484</v>
      </c>
      <c r="D61" s="48">
        <v>6</v>
      </c>
      <c r="E61" s="54"/>
      <c r="F61" s="54"/>
      <c r="G61" s="54">
        <v>10</v>
      </c>
      <c r="H61" s="54">
        <v>20</v>
      </c>
      <c r="I61" s="54">
        <v>20</v>
      </c>
      <c r="J61" s="53">
        <v>30</v>
      </c>
      <c r="K61" s="53">
        <v>20</v>
      </c>
      <c r="L61" s="53"/>
      <c r="M61" s="53"/>
      <c r="N61" s="53"/>
      <c r="O61" s="53"/>
      <c r="P61" s="53"/>
      <c r="S61" s="31">
        <f t="shared" si="8"/>
        <v>100</v>
      </c>
    </row>
    <row r="62" spans="1:19" x14ac:dyDescent="0.2">
      <c r="A62" s="51" t="str">
        <f t="shared" si="9"/>
        <v>7|9</v>
      </c>
      <c r="B62" s="52" t="s">
        <v>485</v>
      </c>
      <c r="C62" s="47" t="s">
        <v>486</v>
      </c>
      <c r="D62" s="48">
        <v>6</v>
      </c>
      <c r="E62" s="54">
        <v>5</v>
      </c>
      <c r="F62" s="54">
        <v>10</v>
      </c>
      <c r="G62" s="54">
        <v>20</v>
      </c>
      <c r="H62" s="54">
        <v>20</v>
      </c>
      <c r="I62" s="54">
        <v>20</v>
      </c>
      <c r="J62" s="53">
        <v>15</v>
      </c>
      <c r="K62" s="53">
        <v>10</v>
      </c>
      <c r="L62" s="53"/>
      <c r="M62" s="53"/>
      <c r="N62" s="53"/>
      <c r="O62" s="53"/>
      <c r="P62" s="53"/>
      <c r="S62" s="31">
        <f t="shared" si="8"/>
        <v>100</v>
      </c>
    </row>
    <row r="63" spans="1:19" x14ac:dyDescent="0.2">
      <c r="A63" s="51" t="str">
        <f t="shared" si="9"/>
        <v>7|10</v>
      </c>
      <c r="B63" s="52" t="s">
        <v>487</v>
      </c>
      <c r="C63" s="47" t="s">
        <v>476</v>
      </c>
      <c r="D63" s="48"/>
      <c r="E63" s="54">
        <v>15</v>
      </c>
      <c r="F63" s="54">
        <v>25</v>
      </c>
      <c r="G63" s="54">
        <v>25</v>
      </c>
      <c r="H63" s="54">
        <v>20</v>
      </c>
      <c r="I63" s="54">
        <v>10</v>
      </c>
      <c r="J63" s="53">
        <v>5</v>
      </c>
      <c r="K63" s="53"/>
      <c r="L63" s="53"/>
      <c r="M63" s="53"/>
      <c r="N63" s="53"/>
      <c r="O63" s="53"/>
      <c r="P63" s="53"/>
      <c r="S63" s="31">
        <f t="shared" si="8"/>
        <v>100</v>
      </c>
    </row>
    <row r="64" spans="1:19" x14ac:dyDescent="0.2">
      <c r="A64" s="51" t="str">
        <f t="shared" si="9"/>
        <v>7|11</v>
      </c>
      <c r="B64" s="52" t="s">
        <v>736</v>
      </c>
      <c r="C64" s="47" t="s">
        <v>772</v>
      </c>
      <c r="D64" s="48"/>
      <c r="E64" s="54">
        <v>2</v>
      </c>
      <c r="F64" s="54">
        <v>8</v>
      </c>
      <c r="G64" s="54">
        <v>18</v>
      </c>
      <c r="H64" s="54">
        <v>20</v>
      </c>
      <c r="I64" s="54">
        <v>20</v>
      </c>
      <c r="J64" s="53">
        <v>20</v>
      </c>
      <c r="K64" s="53">
        <v>12</v>
      </c>
      <c r="L64" s="53"/>
      <c r="M64" s="53"/>
      <c r="N64" s="53"/>
      <c r="O64" s="53"/>
      <c r="P64" s="53"/>
      <c r="S64" s="31">
        <f t="shared" si="8"/>
        <v>100</v>
      </c>
    </row>
    <row r="65" spans="1:19" ht="5.45" customHeight="1" x14ac:dyDescent="0.2"/>
    <row r="66" spans="1:19" ht="13.5" thickBot="1" x14ac:dyDescent="0.25">
      <c r="A66" s="55" t="s">
        <v>80</v>
      </c>
      <c r="B66" s="56">
        <v>8</v>
      </c>
      <c r="C66" s="57"/>
      <c r="D66" s="58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</row>
    <row r="67" spans="1:19" ht="13.5" thickTop="1" x14ac:dyDescent="0.2">
      <c r="A67" s="59" t="str">
        <f>CONCATENATE($B$66,"|",B67)</f>
        <v>8|1</v>
      </c>
      <c r="B67" s="46">
        <v>1</v>
      </c>
      <c r="C67" s="47" t="s">
        <v>477</v>
      </c>
      <c r="D67" s="48">
        <v>1</v>
      </c>
      <c r="E67" s="49">
        <v>15</v>
      </c>
      <c r="F67" s="49">
        <v>20</v>
      </c>
      <c r="G67" s="49">
        <v>25</v>
      </c>
      <c r="H67" s="49">
        <v>25</v>
      </c>
      <c r="I67" s="49">
        <v>10</v>
      </c>
      <c r="J67" s="50">
        <v>5</v>
      </c>
      <c r="K67" s="50"/>
      <c r="L67" s="50"/>
      <c r="M67" s="50"/>
      <c r="N67" s="50"/>
      <c r="O67" s="50"/>
      <c r="P67" s="50"/>
      <c r="S67" s="31">
        <f>SUM(E67:P67)</f>
        <v>100</v>
      </c>
    </row>
    <row r="68" spans="1:19" x14ac:dyDescent="0.2">
      <c r="A68" s="51" t="str">
        <f>CONCATENATE($B$66,"|",B68)</f>
        <v>8|2</v>
      </c>
      <c r="B68" s="52" t="s">
        <v>190</v>
      </c>
      <c r="C68" s="47" t="s">
        <v>473</v>
      </c>
      <c r="D68" s="48">
        <v>2</v>
      </c>
      <c r="E68" s="49">
        <v>15</v>
      </c>
      <c r="F68" s="49">
        <v>20</v>
      </c>
      <c r="G68" s="49">
        <v>25</v>
      </c>
      <c r="H68" s="49">
        <v>25</v>
      </c>
      <c r="I68" s="49">
        <v>10</v>
      </c>
      <c r="J68" s="53">
        <v>5</v>
      </c>
      <c r="K68" s="53"/>
      <c r="L68" s="53"/>
      <c r="M68" s="53"/>
      <c r="N68" s="53"/>
      <c r="O68" s="53"/>
      <c r="P68" s="53"/>
      <c r="S68" s="31">
        <f t="shared" ref="S68:S77" si="10">SUM(E68:P68)</f>
        <v>100</v>
      </c>
    </row>
    <row r="69" spans="1:19" x14ac:dyDescent="0.2">
      <c r="A69" s="51" t="str">
        <f t="shared" ref="A69:A77" si="11">CONCATENATE($B$66,"|",B69)</f>
        <v>8|3</v>
      </c>
      <c r="B69" s="52" t="s">
        <v>208</v>
      </c>
      <c r="C69" s="47" t="s">
        <v>479</v>
      </c>
      <c r="D69" s="48">
        <v>3</v>
      </c>
      <c r="E69" s="54">
        <v>5</v>
      </c>
      <c r="F69" s="54">
        <v>10</v>
      </c>
      <c r="G69" s="54">
        <v>15</v>
      </c>
      <c r="H69" s="54">
        <v>20</v>
      </c>
      <c r="I69" s="54">
        <v>20</v>
      </c>
      <c r="J69" s="53">
        <v>20</v>
      </c>
      <c r="K69" s="53">
        <v>10</v>
      </c>
      <c r="L69" s="53"/>
      <c r="M69" s="53"/>
      <c r="N69" s="53"/>
      <c r="O69" s="53"/>
      <c r="P69" s="53"/>
      <c r="S69" s="31">
        <f t="shared" si="10"/>
        <v>100</v>
      </c>
    </row>
    <row r="70" spans="1:19" x14ac:dyDescent="0.2">
      <c r="A70" s="51" t="str">
        <f t="shared" si="11"/>
        <v>8|4</v>
      </c>
      <c r="B70" s="52" t="s">
        <v>226</v>
      </c>
      <c r="C70" s="47" t="s">
        <v>474</v>
      </c>
      <c r="D70" s="48">
        <v>4</v>
      </c>
      <c r="E70" s="54"/>
      <c r="F70" s="54"/>
      <c r="G70" s="54">
        <v>10</v>
      </c>
      <c r="H70" s="54">
        <v>25</v>
      </c>
      <c r="I70" s="54">
        <v>25</v>
      </c>
      <c r="J70" s="53">
        <v>20</v>
      </c>
      <c r="K70" s="53">
        <v>10</v>
      </c>
      <c r="L70" s="53">
        <v>10</v>
      </c>
      <c r="M70" s="53"/>
      <c r="N70" s="53"/>
      <c r="O70" s="53"/>
      <c r="P70" s="53"/>
      <c r="S70" s="31">
        <f t="shared" si="10"/>
        <v>100</v>
      </c>
    </row>
    <row r="71" spans="1:19" x14ac:dyDescent="0.2">
      <c r="A71" s="51" t="str">
        <f t="shared" si="11"/>
        <v>8|5</v>
      </c>
      <c r="B71" s="52" t="s">
        <v>189</v>
      </c>
      <c r="C71" s="47" t="s">
        <v>475</v>
      </c>
      <c r="D71" s="48">
        <v>5</v>
      </c>
      <c r="E71" s="54"/>
      <c r="F71" s="54">
        <v>5</v>
      </c>
      <c r="G71" s="54">
        <v>15</v>
      </c>
      <c r="H71" s="54">
        <v>25</v>
      </c>
      <c r="I71" s="54">
        <v>25</v>
      </c>
      <c r="J71" s="53">
        <v>15</v>
      </c>
      <c r="K71" s="53">
        <v>15</v>
      </c>
      <c r="L71" s="53"/>
      <c r="M71" s="53"/>
      <c r="N71" s="53"/>
      <c r="O71" s="53"/>
      <c r="P71" s="53"/>
      <c r="S71" s="31">
        <f t="shared" si="10"/>
        <v>100</v>
      </c>
    </row>
    <row r="72" spans="1:19" x14ac:dyDescent="0.2">
      <c r="A72" s="51" t="str">
        <f t="shared" si="11"/>
        <v>8|6</v>
      </c>
      <c r="B72" s="52" t="s">
        <v>228</v>
      </c>
      <c r="C72" s="47" t="s">
        <v>481</v>
      </c>
      <c r="D72" s="48">
        <v>3</v>
      </c>
      <c r="E72" s="54"/>
      <c r="F72" s="54"/>
      <c r="G72" s="54">
        <v>5</v>
      </c>
      <c r="H72" s="54">
        <v>20</v>
      </c>
      <c r="I72" s="54">
        <v>20</v>
      </c>
      <c r="J72" s="53">
        <v>25</v>
      </c>
      <c r="K72" s="53">
        <v>20</v>
      </c>
      <c r="L72" s="53">
        <v>10</v>
      </c>
      <c r="M72" s="53"/>
      <c r="N72" s="53"/>
      <c r="O72" s="53"/>
      <c r="P72" s="53"/>
      <c r="S72" s="31">
        <f t="shared" si="10"/>
        <v>100</v>
      </c>
    </row>
    <row r="73" spans="1:19" x14ac:dyDescent="0.2">
      <c r="A73" s="51" t="str">
        <f t="shared" si="11"/>
        <v>8|7</v>
      </c>
      <c r="B73" s="52" t="s">
        <v>456</v>
      </c>
      <c r="C73" s="47" t="s">
        <v>482</v>
      </c>
      <c r="D73" s="48">
        <v>5</v>
      </c>
      <c r="E73" s="54"/>
      <c r="F73" s="54"/>
      <c r="G73" s="54">
        <v>5</v>
      </c>
      <c r="H73" s="54">
        <v>15</v>
      </c>
      <c r="I73" s="54">
        <v>20</v>
      </c>
      <c r="J73" s="54">
        <v>25</v>
      </c>
      <c r="K73" s="54">
        <v>25</v>
      </c>
      <c r="L73" s="54">
        <v>10</v>
      </c>
      <c r="M73" s="53"/>
      <c r="N73" s="53"/>
      <c r="O73" s="53"/>
      <c r="P73" s="53"/>
      <c r="S73" s="31">
        <f t="shared" si="10"/>
        <v>100</v>
      </c>
    </row>
    <row r="74" spans="1:19" x14ac:dyDescent="0.2">
      <c r="A74" s="51" t="str">
        <f t="shared" si="11"/>
        <v>8|8</v>
      </c>
      <c r="B74" s="52" t="s">
        <v>323</v>
      </c>
      <c r="C74" s="47" t="s">
        <v>484</v>
      </c>
      <c r="D74" s="48">
        <v>6</v>
      </c>
      <c r="E74" s="54"/>
      <c r="F74" s="54"/>
      <c r="G74" s="54"/>
      <c r="H74" s="54">
        <v>20</v>
      </c>
      <c r="I74" s="54">
        <v>20</v>
      </c>
      <c r="J74" s="53">
        <v>30</v>
      </c>
      <c r="K74" s="53">
        <v>20</v>
      </c>
      <c r="L74" s="53">
        <v>10</v>
      </c>
      <c r="M74" s="53"/>
      <c r="N74" s="53"/>
      <c r="O74" s="53"/>
      <c r="P74" s="53"/>
      <c r="S74" s="31">
        <f t="shared" si="10"/>
        <v>100</v>
      </c>
    </row>
    <row r="75" spans="1:19" x14ac:dyDescent="0.2">
      <c r="A75" s="51" t="str">
        <f t="shared" si="11"/>
        <v>8|9</v>
      </c>
      <c r="B75" s="52" t="s">
        <v>485</v>
      </c>
      <c r="C75" s="47" t="s">
        <v>486</v>
      </c>
      <c r="D75" s="48">
        <v>6</v>
      </c>
      <c r="E75" s="54">
        <v>5</v>
      </c>
      <c r="F75" s="54">
        <v>5</v>
      </c>
      <c r="G75" s="54">
        <v>10</v>
      </c>
      <c r="H75" s="54">
        <v>15</v>
      </c>
      <c r="I75" s="54">
        <v>20</v>
      </c>
      <c r="J75" s="53">
        <v>20</v>
      </c>
      <c r="K75" s="53">
        <v>15</v>
      </c>
      <c r="L75" s="53">
        <v>10</v>
      </c>
      <c r="M75" s="53"/>
      <c r="N75" s="53"/>
      <c r="O75" s="53"/>
      <c r="P75" s="53"/>
      <c r="S75" s="31">
        <f t="shared" si="10"/>
        <v>100</v>
      </c>
    </row>
    <row r="76" spans="1:19" x14ac:dyDescent="0.2">
      <c r="A76" s="51" t="str">
        <f t="shared" si="11"/>
        <v>8|10</v>
      </c>
      <c r="B76" s="52" t="s">
        <v>487</v>
      </c>
      <c r="C76" s="47" t="s">
        <v>476</v>
      </c>
      <c r="D76" s="48"/>
      <c r="E76" s="54">
        <v>15</v>
      </c>
      <c r="F76" s="54">
        <v>20</v>
      </c>
      <c r="G76" s="54">
        <v>20</v>
      </c>
      <c r="H76" s="54">
        <v>20</v>
      </c>
      <c r="I76" s="54">
        <v>15</v>
      </c>
      <c r="J76" s="53">
        <v>10</v>
      </c>
      <c r="K76" s="53"/>
      <c r="L76" s="53"/>
      <c r="M76" s="53"/>
      <c r="N76" s="53"/>
      <c r="O76" s="53"/>
      <c r="P76" s="53"/>
      <c r="S76" s="31">
        <f t="shared" si="10"/>
        <v>100</v>
      </c>
    </row>
    <row r="77" spans="1:19" x14ac:dyDescent="0.2">
      <c r="A77" s="51" t="str">
        <f t="shared" si="11"/>
        <v>8|11</v>
      </c>
      <c r="B77" s="52" t="s">
        <v>736</v>
      </c>
      <c r="C77" s="47" t="s">
        <v>772</v>
      </c>
      <c r="D77" s="48"/>
      <c r="E77" s="54">
        <v>2</v>
      </c>
      <c r="F77" s="54">
        <v>2</v>
      </c>
      <c r="G77" s="54">
        <v>13</v>
      </c>
      <c r="H77" s="54">
        <v>15</v>
      </c>
      <c r="I77" s="54">
        <v>15</v>
      </c>
      <c r="J77" s="53">
        <v>22</v>
      </c>
      <c r="K77" s="53">
        <v>23</v>
      </c>
      <c r="L77" s="53">
        <v>8</v>
      </c>
      <c r="M77" s="53"/>
      <c r="N77" s="53"/>
      <c r="O77" s="53"/>
      <c r="P77" s="53"/>
      <c r="S77" s="31">
        <f t="shared" si="10"/>
        <v>100</v>
      </c>
    </row>
    <row r="78" spans="1:19" ht="5.45" customHeight="1" x14ac:dyDescent="0.2"/>
    <row r="79" spans="1:19" ht="13.5" thickBot="1" x14ac:dyDescent="0.25">
      <c r="A79" s="55" t="s">
        <v>80</v>
      </c>
      <c r="B79" s="56">
        <v>9</v>
      </c>
      <c r="C79" s="57"/>
      <c r="D79" s="58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</row>
    <row r="80" spans="1:19" ht="13.5" thickTop="1" x14ac:dyDescent="0.2">
      <c r="A80" s="59" t="str">
        <f>CONCATENATE($B$79,"|",B80)</f>
        <v>9|1</v>
      </c>
      <c r="B80" s="46">
        <v>1</v>
      </c>
      <c r="C80" s="47" t="s">
        <v>477</v>
      </c>
      <c r="D80" s="48">
        <v>1</v>
      </c>
      <c r="E80" s="49">
        <v>15</v>
      </c>
      <c r="F80" s="49">
        <v>15</v>
      </c>
      <c r="G80" s="49">
        <v>20</v>
      </c>
      <c r="H80" s="49">
        <v>20</v>
      </c>
      <c r="I80" s="49">
        <v>20</v>
      </c>
      <c r="J80" s="50">
        <v>10</v>
      </c>
      <c r="K80" s="50"/>
      <c r="L80" s="50"/>
      <c r="M80" s="50"/>
      <c r="N80" s="50"/>
      <c r="O80" s="50"/>
      <c r="P80" s="50"/>
      <c r="S80" s="31">
        <f>SUM(E80:P80)</f>
        <v>100</v>
      </c>
    </row>
    <row r="81" spans="1:19" x14ac:dyDescent="0.2">
      <c r="A81" s="51" t="str">
        <f>CONCATENATE($B$79,"|",B81)</f>
        <v>9|2</v>
      </c>
      <c r="B81" s="52" t="s">
        <v>190</v>
      </c>
      <c r="C81" s="47" t="s">
        <v>473</v>
      </c>
      <c r="D81" s="48">
        <v>2</v>
      </c>
      <c r="E81" s="49">
        <v>10</v>
      </c>
      <c r="F81" s="49">
        <v>15</v>
      </c>
      <c r="G81" s="49">
        <v>20</v>
      </c>
      <c r="H81" s="49">
        <v>20</v>
      </c>
      <c r="I81" s="49">
        <v>15</v>
      </c>
      <c r="J81" s="53">
        <v>15</v>
      </c>
      <c r="K81" s="53">
        <v>5</v>
      </c>
      <c r="L81" s="53"/>
      <c r="M81" s="53"/>
      <c r="N81" s="53"/>
      <c r="O81" s="53"/>
      <c r="P81" s="53"/>
      <c r="S81" s="31">
        <f t="shared" ref="S81:S90" si="12">SUM(E81:P81)</f>
        <v>100</v>
      </c>
    </row>
    <row r="82" spans="1:19" x14ac:dyDescent="0.2">
      <c r="A82" s="51" t="str">
        <f t="shared" ref="A82:A90" si="13">CONCATENATE($B$79,"|",B82)</f>
        <v>9|3</v>
      </c>
      <c r="B82" s="52" t="s">
        <v>208</v>
      </c>
      <c r="C82" s="47" t="s">
        <v>479</v>
      </c>
      <c r="D82" s="48">
        <v>3</v>
      </c>
      <c r="E82" s="54">
        <v>5</v>
      </c>
      <c r="F82" s="54">
        <v>10</v>
      </c>
      <c r="G82" s="54">
        <v>15</v>
      </c>
      <c r="H82" s="54">
        <v>20</v>
      </c>
      <c r="I82" s="54">
        <v>20</v>
      </c>
      <c r="J82" s="53">
        <v>10</v>
      </c>
      <c r="K82" s="53">
        <v>10</v>
      </c>
      <c r="L82" s="53">
        <v>10</v>
      </c>
      <c r="M82" s="53"/>
      <c r="N82" s="53"/>
      <c r="O82" s="53"/>
      <c r="P82" s="53"/>
      <c r="S82" s="31">
        <f t="shared" si="12"/>
        <v>100</v>
      </c>
    </row>
    <row r="83" spans="1:19" x14ac:dyDescent="0.2">
      <c r="A83" s="51" t="str">
        <f t="shared" si="13"/>
        <v>9|4</v>
      </c>
      <c r="B83" s="52" t="s">
        <v>226</v>
      </c>
      <c r="C83" s="47" t="s">
        <v>474</v>
      </c>
      <c r="D83" s="48">
        <v>4</v>
      </c>
      <c r="E83" s="54"/>
      <c r="F83" s="54"/>
      <c r="G83" s="54">
        <v>5</v>
      </c>
      <c r="H83" s="54">
        <v>15</v>
      </c>
      <c r="I83" s="54">
        <v>20</v>
      </c>
      <c r="J83" s="53">
        <v>20</v>
      </c>
      <c r="K83" s="53">
        <v>20</v>
      </c>
      <c r="L83" s="53">
        <v>15</v>
      </c>
      <c r="M83" s="53">
        <v>5</v>
      </c>
      <c r="N83" s="53"/>
      <c r="O83" s="53"/>
      <c r="P83" s="53"/>
      <c r="S83" s="31">
        <f t="shared" si="12"/>
        <v>100</v>
      </c>
    </row>
    <row r="84" spans="1:19" x14ac:dyDescent="0.2">
      <c r="A84" s="51" t="str">
        <f t="shared" si="13"/>
        <v>9|5</v>
      </c>
      <c r="B84" s="52" t="s">
        <v>189</v>
      </c>
      <c r="C84" s="47" t="s">
        <v>475</v>
      </c>
      <c r="D84" s="48">
        <v>5</v>
      </c>
      <c r="E84" s="54"/>
      <c r="F84" s="54">
        <v>5</v>
      </c>
      <c r="G84" s="54">
        <v>10</v>
      </c>
      <c r="H84" s="54">
        <v>15</v>
      </c>
      <c r="I84" s="54">
        <v>20</v>
      </c>
      <c r="J84" s="53">
        <v>20</v>
      </c>
      <c r="K84" s="53">
        <v>20</v>
      </c>
      <c r="L84" s="53">
        <v>10</v>
      </c>
      <c r="M84" s="53"/>
      <c r="N84" s="53"/>
      <c r="O84" s="53"/>
      <c r="P84" s="53"/>
      <c r="S84" s="31">
        <f t="shared" si="12"/>
        <v>100</v>
      </c>
    </row>
    <row r="85" spans="1:19" x14ac:dyDescent="0.2">
      <c r="A85" s="51" t="str">
        <f t="shared" si="13"/>
        <v>9|6</v>
      </c>
      <c r="B85" s="52" t="s">
        <v>228</v>
      </c>
      <c r="C85" s="47" t="s">
        <v>481</v>
      </c>
      <c r="D85" s="48">
        <v>3</v>
      </c>
      <c r="E85" s="54"/>
      <c r="F85" s="54"/>
      <c r="G85" s="54">
        <v>5</v>
      </c>
      <c r="H85" s="54">
        <v>10</v>
      </c>
      <c r="I85" s="54">
        <v>20</v>
      </c>
      <c r="J85" s="53">
        <v>20</v>
      </c>
      <c r="K85" s="53">
        <v>20</v>
      </c>
      <c r="L85" s="53">
        <v>15</v>
      </c>
      <c r="M85" s="53">
        <v>10</v>
      </c>
      <c r="N85" s="53"/>
      <c r="O85" s="53"/>
      <c r="P85" s="53"/>
      <c r="S85" s="31">
        <f t="shared" si="12"/>
        <v>100</v>
      </c>
    </row>
    <row r="86" spans="1:19" x14ac:dyDescent="0.2">
      <c r="A86" s="51" t="str">
        <f t="shared" si="13"/>
        <v>9|7</v>
      </c>
      <c r="B86" s="52" t="s">
        <v>456</v>
      </c>
      <c r="C86" s="47" t="s">
        <v>482</v>
      </c>
      <c r="D86" s="48">
        <v>5</v>
      </c>
      <c r="E86" s="54"/>
      <c r="F86" s="54"/>
      <c r="G86" s="54"/>
      <c r="H86" s="54">
        <v>15</v>
      </c>
      <c r="I86" s="54">
        <v>15</v>
      </c>
      <c r="J86" s="53">
        <v>15</v>
      </c>
      <c r="K86" s="53">
        <v>20</v>
      </c>
      <c r="L86" s="53">
        <v>20</v>
      </c>
      <c r="M86" s="53">
        <v>15</v>
      </c>
      <c r="N86" s="53"/>
      <c r="O86" s="53"/>
      <c r="P86" s="53"/>
      <c r="S86" s="31">
        <f t="shared" si="12"/>
        <v>100</v>
      </c>
    </row>
    <row r="87" spans="1:19" x14ac:dyDescent="0.2">
      <c r="A87" s="51" t="str">
        <f t="shared" si="13"/>
        <v>9|8</v>
      </c>
      <c r="B87" s="52" t="s">
        <v>323</v>
      </c>
      <c r="C87" s="47" t="s">
        <v>484</v>
      </c>
      <c r="D87" s="48">
        <v>6</v>
      </c>
      <c r="E87" s="54"/>
      <c r="F87" s="54"/>
      <c r="G87" s="54"/>
      <c r="H87" s="54">
        <v>10</v>
      </c>
      <c r="I87" s="54">
        <v>20</v>
      </c>
      <c r="J87" s="53">
        <v>30</v>
      </c>
      <c r="K87" s="53">
        <v>20</v>
      </c>
      <c r="L87" s="53">
        <v>10</v>
      </c>
      <c r="M87" s="53">
        <v>10</v>
      </c>
      <c r="N87" s="53"/>
      <c r="O87" s="53"/>
      <c r="P87" s="53"/>
      <c r="S87" s="31">
        <f t="shared" si="12"/>
        <v>100</v>
      </c>
    </row>
    <row r="88" spans="1:19" x14ac:dyDescent="0.2">
      <c r="A88" s="51" t="str">
        <f t="shared" si="13"/>
        <v>9|9</v>
      </c>
      <c r="B88" s="52" t="s">
        <v>485</v>
      </c>
      <c r="C88" s="47" t="s">
        <v>486</v>
      </c>
      <c r="D88" s="48">
        <v>6</v>
      </c>
      <c r="E88" s="54">
        <v>5</v>
      </c>
      <c r="F88" s="54">
        <v>5</v>
      </c>
      <c r="G88" s="54">
        <v>10</v>
      </c>
      <c r="H88" s="54">
        <v>15</v>
      </c>
      <c r="I88" s="54">
        <v>20</v>
      </c>
      <c r="J88" s="53">
        <v>15</v>
      </c>
      <c r="K88" s="53">
        <v>15</v>
      </c>
      <c r="L88" s="53">
        <v>15</v>
      </c>
      <c r="M88" s="53"/>
      <c r="N88" s="53"/>
      <c r="O88" s="53"/>
      <c r="P88" s="53"/>
      <c r="S88" s="31">
        <f t="shared" si="12"/>
        <v>100</v>
      </c>
    </row>
    <row r="89" spans="1:19" x14ac:dyDescent="0.2">
      <c r="A89" s="51" t="str">
        <f t="shared" si="13"/>
        <v>9|10</v>
      </c>
      <c r="B89" s="52" t="s">
        <v>487</v>
      </c>
      <c r="C89" s="47" t="s">
        <v>476</v>
      </c>
      <c r="D89" s="48"/>
      <c r="E89" s="54">
        <v>10</v>
      </c>
      <c r="F89" s="54">
        <v>15</v>
      </c>
      <c r="G89" s="54">
        <v>20</v>
      </c>
      <c r="H89" s="54">
        <v>20</v>
      </c>
      <c r="I89" s="54">
        <v>20</v>
      </c>
      <c r="J89" s="53">
        <v>10</v>
      </c>
      <c r="K89" s="53">
        <v>5</v>
      </c>
      <c r="L89" s="53"/>
      <c r="M89" s="53"/>
      <c r="N89" s="53"/>
      <c r="O89" s="53"/>
      <c r="P89" s="53"/>
      <c r="S89" s="31">
        <f t="shared" si="12"/>
        <v>100</v>
      </c>
    </row>
    <row r="90" spans="1:19" x14ac:dyDescent="0.2">
      <c r="A90" s="51" t="str">
        <f t="shared" si="13"/>
        <v>9|11</v>
      </c>
      <c r="B90" s="52" t="s">
        <v>736</v>
      </c>
      <c r="C90" s="47" t="s">
        <v>772</v>
      </c>
      <c r="D90" s="48"/>
      <c r="E90" s="54">
        <v>3</v>
      </c>
      <c r="F90" s="54">
        <v>5</v>
      </c>
      <c r="G90" s="54">
        <v>11</v>
      </c>
      <c r="H90" s="54">
        <v>15</v>
      </c>
      <c r="I90" s="54">
        <v>20</v>
      </c>
      <c r="J90" s="53">
        <v>16</v>
      </c>
      <c r="K90" s="53">
        <v>14</v>
      </c>
      <c r="L90" s="53">
        <v>10</v>
      </c>
      <c r="M90" s="53">
        <v>6</v>
      </c>
      <c r="N90" s="53"/>
      <c r="O90" s="53"/>
      <c r="P90" s="53"/>
      <c r="S90" s="31">
        <f t="shared" si="12"/>
        <v>100</v>
      </c>
    </row>
    <row r="91" spans="1:19" ht="5.45" customHeight="1" x14ac:dyDescent="0.2"/>
    <row r="92" spans="1:19" ht="13.5" thickBot="1" x14ac:dyDescent="0.25">
      <c r="A92" s="55" t="s">
        <v>80</v>
      </c>
      <c r="B92" s="56">
        <v>10</v>
      </c>
      <c r="C92" s="57"/>
      <c r="D92" s="58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</row>
    <row r="93" spans="1:19" ht="13.5" thickTop="1" x14ac:dyDescent="0.2">
      <c r="A93" s="59" t="str">
        <f>CONCATENATE($B$92,"|",B93)</f>
        <v>10|1</v>
      </c>
      <c r="B93" s="46">
        <v>1</v>
      </c>
      <c r="C93" s="47" t="s">
        <v>477</v>
      </c>
      <c r="D93" s="48">
        <v>1</v>
      </c>
      <c r="E93" s="49">
        <v>20</v>
      </c>
      <c r="F93" s="49">
        <v>20</v>
      </c>
      <c r="G93" s="49">
        <v>20</v>
      </c>
      <c r="H93" s="49">
        <v>10</v>
      </c>
      <c r="I93" s="49">
        <v>10</v>
      </c>
      <c r="J93" s="50">
        <v>10</v>
      </c>
      <c r="K93" s="50">
        <v>10</v>
      </c>
      <c r="L93" s="50"/>
      <c r="M93" s="50"/>
      <c r="N93" s="50"/>
      <c r="O93" s="50"/>
      <c r="P93" s="50"/>
      <c r="S93" s="31">
        <f>SUM(E93:P93)</f>
        <v>100</v>
      </c>
    </row>
    <row r="94" spans="1:19" x14ac:dyDescent="0.2">
      <c r="A94" s="51" t="str">
        <f>CONCATENATE($B$92,"|",B94)</f>
        <v>10|2</v>
      </c>
      <c r="B94" s="52" t="s">
        <v>190</v>
      </c>
      <c r="C94" s="47" t="s">
        <v>473</v>
      </c>
      <c r="D94" s="48">
        <v>2</v>
      </c>
      <c r="E94" s="49">
        <v>5</v>
      </c>
      <c r="F94" s="49">
        <v>10</v>
      </c>
      <c r="G94" s="49">
        <v>15</v>
      </c>
      <c r="H94" s="49">
        <v>20</v>
      </c>
      <c r="I94" s="49">
        <v>20</v>
      </c>
      <c r="J94" s="53">
        <v>15</v>
      </c>
      <c r="K94" s="53">
        <v>10</v>
      </c>
      <c r="L94" s="53">
        <v>5</v>
      </c>
      <c r="M94" s="53"/>
      <c r="N94" s="53"/>
      <c r="O94" s="53"/>
      <c r="P94" s="53"/>
      <c r="S94" s="31">
        <f t="shared" ref="S94:S103" si="14">SUM(E94:P94)</f>
        <v>100</v>
      </c>
    </row>
    <row r="95" spans="1:19" x14ac:dyDescent="0.2">
      <c r="A95" s="51" t="str">
        <f t="shared" ref="A95:A103" si="15">CONCATENATE($B$92,"|",B95)</f>
        <v>10|3</v>
      </c>
      <c r="B95" s="52" t="s">
        <v>208</v>
      </c>
      <c r="C95" s="47" t="s">
        <v>479</v>
      </c>
      <c r="D95" s="48">
        <v>3</v>
      </c>
      <c r="E95" s="54"/>
      <c r="F95" s="54">
        <v>5</v>
      </c>
      <c r="G95" s="54">
        <v>10</v>
      </c>
      <c r="H95" s="54">
        <v>15</v>
      </c>
      <c r="I95" s="54">
        <v>15</v>
      </c>
      <c r="J95" s="53">
        <v>15</v>
      </c>
      <c r="K95" s="53">
        <v>15</v>
      </c>
      <c r="L95" s="53">
        <v>15</v>
      </c>
      <c r="M95" s="53">
        <v>10</v>
      </c>
      <c r="N95" s="53"/>
      <c r="O95" s="53"/>
      <c r="P95" s="53"/>
      <c r="S95" s="31">
        <f t="shared" si="14"/>
        <v>100</v>
      </c>
    </row>
    <row r="96" spans="1:19" x14ac:dyDescent="0.2">
      <c r="A96" s="51" t="str">
        <f t="shared" si="15"/>
        <v>10|4</v>
      </c>
      <c r="B96" s="52" t="s">
        <v>226</v>
      </c>
      <c r="C96" s="47" t="s">
        <v>474</v>
      </c>
      <c r="D96" s="48">
        <v>4</v>
      </c>
      <c r="E96" s="54"/>
      <c r="F96" s="54"/>
      <c r="G96" s="54">
        <v>5</v>
      </c>
      <c r="H96" s="54">
        <v>5</v>
      </c>
      <c r="I96" s="54">
        <v>15</v>
      </c>
      <c r="J96" s="53">
        <v>20</v>
      </c>
      <c r="K96" s="53">
        <v>20</v>
      </c>
      <c r="L96" s="53">
        <v>15</v>
      </c>
      <c r="M96" s="53">
        <v>10</v>
      </c>
      <c r="N96" s="53">
        <v>10</v>
      </c>
      <c r="O96" s="53"/>
      <c r="P96" s="53"/>
      <c r="S96" s="31">
        <f t="shared" si="14"/>
        <v>100</v>
      </c>
    </row>
    <row r="97" spans="1:19" x14ac:dyDescent="0.2">
      <c r="A97" s="51" t="str">
        <f t="shared" si="15"/>
        <v>10|5</v>
      </c>
      <c r="B97" s="52" t="s">
        <v>189</v>
      </c>
      <c r="C97" s="47" t="s">
        <v>475</v>
      </c>
      <c r="D97" s="48">
        <v>5</v>
      </c>
      <c r="E97" s="54"/>
      <c r="F97" s="54"/>
      <c r="G97" s="54">
        <v>10</v>
      </c>
      <c r="H97" s="54">
        <v>10</v>
      </c>
      <c r="I97" s="54">
        <v>10</v>
      </c>
      <c r="J97" s="53">
        <v>20</v>
      </c>
      <c r="K97" s="53">
        <v>20</v>
      </c>
      <c r="L97" s="53">
        <v>20</v>
      </c>
      <c r="M97" s="53">
        <v>10</v>
      </c>
      <c r="N97" s="53"/>
      <c r="O97" s="53"/>
      <c r="P97" s="53"/>
      <c r="S97" s="31">
        <f t="shared" si="14"/>
        <v>100</v>
      </c>
    </row>
    <row r="98" spans="1:19" x14ac:dyDescent="0.2">
      <c r="A98" s="51" t="str">
        <f t="shared" si="15"/>
        <v>10|6</v>
      </c>
      <c r="B98" s="52" t="s">
        <v>228</v>
      </c>
      <c r="C98" s="47" t="s">
        <v>481</v>
      </c>
      <c r="D98" s="48">
        <v>3</v>
      </c>
      <c r="E98" s="54"/>
      <c r="F98" s="54"/>
      <c r="G98" s="54"/>
      <c r="H98" s="54">
        <v>5</v>
      </c>
      <c r="I98" s="54">
        <v>10</v>
      </c>
      <c r="J98" s="54">
        <v>15</v>
      </c>
      <c r="K98" s="53">
        <v>20</v>
      </c>
      <c r="L98" s="53">
        <v>20</v>
      </c>
      <c r="M98" s="53">
        <v>15</v>
      </c>
      <c r="N98" s="53">
        <v>15</v>
      </c>
      <c r="O98" s="53"/>
      <c r="P98" s="53"/>
      <c r="S98" s="31">
        <f t="shared" si="14"/>
        <v>100</v>
      </c>
    </row>
    <row r="99" spans="1:19" x14ac:dyDescent="0.2">
      <c r="A99" s="51" t="str">
        <f t="shared" si="15"/>
        <v>10|7</v>
      </c>
      <c r="B99" s="52" t="s">
        <v>456</v>
      </c>
      <c r="C99" s="47" t="s">
        <v>482</v>
      </c>
      <c r="D99" s="48">
        <v>5</v>
      </c>
      <c r="E99" s="54"/>
      <c r="F99" s="54"/>
      <c r="G99" s="54"/>
      <c r="H99" s="54">
        <v>15</v>
      </c>
      <c r="I99" s="54">
        <v>15</v>
      </c>
      <c r="J99" s="53">
        <v>15</v>
      </c>
      <c r="K99" s="53">
        <v>20</v>
      </c>
      <c r="L99" s="53">
        <v>15</v>
      </c>
      <c r="M99" s="53">
        <v>10</v>
      </c>
      <c r="N99" s="53">
        <v>10</v>
      </c>
      <c r="O99" s="53"/>
      <c r="P99" s="53"/>
      <c r="S99" s="31">
        <f t="shared" si="14"/>
        <v>100</v>
      </c>
    </row>
    <row r="100" spans="1:19" x14ac:dyDescent="0.2">
      <c r="A100" s="51" t="str">
        <f t="shared" si="15"/>
        <v>10|8</v>
      </c>
      <c r="B100" s="52" t="s">
        <v>323</v>
      </c>
      <c r="C100" s="47" t="s">
        <v>484</v>
      </c>
      <c r="D100" s="48">
        <v>6</v>
      </c>
      <c r="E100" s="54"/>
      <c r="F100" s="54"/>
      <c r="G100" s="54"/>
      <c r="H100" s="54">
        <v>10</v>
      </c>
      <c r="I100" s="54">
        <v>20</v>
      </c>
      <c r="J100" s="53">
        <v>20</v>
      </c>
      <c r="K100" s="53">
        <v>20</v>
      </c>
      <c r="L100" s="53">
        <v>10</v>
      </c>
      <c r="M100" s="53">
        <v>10</v>
      </c>
      <c r="N100" s="53">
        <v>10</v>
      </c>
      <c r="O100" s="53"/>
      <c r="P100" s="53"/>
      <c r="S100" s="31">
        <f t="shared" si="14"/>
        <v>100</v>
      </c>
    </row>
    <row r="101" spans="1:19" x14ac:dyDescent="0.2">
      <c r="A101" s="51" t="str">
        <f t="shared" si="15"/>
        <v>10|9</v>
      </c>
      <c r="B101" s="52" t="s">
        <v>485</v>
      </c>
      <c r="C101" s="47" t="s">
        <v>486</v>
      </c>
      <c r="D101" s="48">
        <v>6</v>
      </c>
      <c r="E101" s="54">
        <v>5</v>
      </c>
      <c r="F101" s="54">
        <v>5</v>
      </c>
      <c r="G101" s="54">
        <v>10</v>
      </c>
      <c r="H101" s="54">
        <v>10</v>
      </c>
      <c r="I101" s="54">
        <v>10</v>
      </c>
      <c r="J101" s="53">
        <v>15</v>
      </c>
      <c r="K101" s="53">
        <v>15</v>
      </c>
      <c r="L101" s="53">
        <v>10</v>
      </c>
      <c r="M101" s="53">
        <v>10</v>
      </c>
      <c r="N101" s="53">
        <v>10</v>
      </c>
      <c r="O101" s="53"/>
      <c r="P101" s="53"/>
      <c r="S101" s="31">
        <f t="shared" si="14"/>
        <v>100</v>
      </c>
    </row>
    <row r="102" spans="1:19" x14ac:dyDescent="0.2">
      <c r="A102" s="51" t="str">
        <f t="shared" si="15"/>
        <v>10|10</v>
      </c>
      <c r="B102" s="52" t="s">
        <v>487</v>
      </c>
      <c r="C102" s="47" t="s">
        <v>476</v>
      </c>
      <c r="D102" s="48"/>
      <c r="E102" s="54">
        <v>10</v>
      </c>
      <c r="F102" s="54">
        <v>15</v>
      </c>
      <c r="G102" s="54">
        <v>15</v>
      </c>
      <c r="H102" s="54">
        <v>15</v>
      </c>
      <c r="I102" s="54">
        <v>15</v>
      </c>
      <c r="J102" s="53">
        <v>15</v>
      </c>
      <c r="K102" s="53">
        <v>10</v>
      </c>
      <c r="L102" s="53">
        <v>5</v>
      </c>
      <c r="M102" s="53"/>
      <c r="N102" s="53"/>
      <c r="O102" s="53"/>
      <c r="P102" s="53"/>
      <c r="S102" s="31">
        <f t="shared" si="14"/>
        <v>100</v>
      </c>
    </row>
    <row r="103" spans="1:19" x14ac:dyDescent="0.2">
      <c r="A103" s="51" t="str">
        <f t="shared" si="15"/>
        <v>10|11</v>
      </c>
      <c r="B103" s="52" t="s">
        <v>736</v>
      </c>
      <c r="C103" s="47" t="s">
        <v>772</v>
      </c>
      <c r="D103" s="48"/>
      <c r="E103" s="54">
        <v>2</v>
      </c>
      <c r="F103" s="54">
        <v>2</v>
      </c>
      <c r="G103" s="54">
        <v>14</v>
      </c>
      <c r="H103" s="54">
        <v>14</v>
      </c>
      <c r="I103" s="54">
        <v>15</v>
      </c>
      <c r="J103" s="53">
        <v>15</v>
      </c>
      <c r="K103" s="53">
        <v>15</v>
      </c>
      <c r="L103" s="53">
        <v>15</v>
      </c>
      <c r="M103" s="53">
        <v>5</v>
      </c>
      <c r="N103" s="53">
        <v>3</v>
      </c>
      <c r="O103" s="53"/>
      <c r="P103" s="53"/>
      <c r="S103" s="31">
        <f t="shared" si="14"/>
        <v>100</v>
      </c>
    </row>
    <row r="104" spans="1:19" ht="5.45" customHeight="1" x14ac:dyDescent="0.2"/>
    <row r="105" spans="1:19" ht="13.5" thickBot="1" x14ac:dyDescent="0.25">
      <c r="A105" s="55" t="s">
        <v>80</v>
      </c>
      <c r="B105" s="56">
        <v>11</v>
      </c>
      <c r="C105" s="57"/>
      <c r="D105" s="58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</row>
    <row r="106" spans="1:19" ht="13.5" thickTop="1" x14ac:dyDescent="0.2">
      <c r="A106" s="59" t="str">
        <f>CONCATENATE($B$105,"|",B106)</f>
        <v>11|1</v>
      </c>
      <c r="B106" s="46">
        <v>1</v>
      </c>
      <c r="C106" s="47" t="s">
        <v>477</v>
      </c>
      <c r="D106" s="48">
        <v>1</v>
      </c>
      <c r="E106" s="49">
        <v>10</v>
      </c>
      <c r="F106" s="49">
        <v>20</v>
      </c>
      <c r="G106" s="49">
        <v>20</v>
      </c>
      <c r="H106" s="49">
        <v>20</v>
      </c>
      <c r="I106" s="49">
        <v>10</v>
      </c>
      <c r="J106" s="50">
        <v>10</v>
      </c>
      <c r="K106" s="50">
        <v>10</v>
      </c>
      <c r="L106" s="50"/>
      <c r="M106" s="50"/>
      <c r="N106" s="50"/>
      <c r="O106" s="50"/>
      <c r="P106" s="50"/>
      <c r="S106" s="31">
        <f>SUM(E106:P106)</f>
        <v>100</v>
      </c>
    </row>
    <row r="107" spans="1:19" x14ac:dyDescent="0.2">
      <c r="A107" s="51" t="str">
        <f>CONCATENATE($B$105,"|",B107)</f>
        <v>11|2</v>
      </c>
      <c r="B107" s="52" t="s">
        <v>190</v>
      </c>
      <c r="C107" s="47" t="s">
        <v>473</v>
      </c>
      <c r="D107" s="48">
        <v>2</v>
      </c>
      <c r="E107" s="49">
        <v>5</v>
      </c>
      <c r="F107" s="49">
        <v>10</v>
      </c>
      <c r="G107" s="49">
        <v>10</v>
      </c>
      <c r="H107" s="49">
        <v>15</v>
      </c>
      <c r="I107" s="49">
        <v>15</v>
      </c>
      <c r="J107" s="53">
        <v>15</v>
      </c>
      <c r="K107" s="53">
        <v>15</v>
      </c>
      <c r="L107" s="53">
        <v>10</v>
      </c>
      <c r="M107" s="53">
        <v>5</v>
      </c>
      <c r="N107" s="53"/>
      <c r="O107" s="53"/>
      <c r="P107" s="53"/>
      <c r="S107" s="31">
        <f t="shared" ref="S107:S116" si="16">SUM(E107:P107)</f>
        <v>100</v>
      </c>
    </row>
    <row r="108" spans="1:19" x14ac:dyDescent="0.2">
      <c r="A108" s="51" t="str">
        <f t="shared" ref="A108:A116" si="17">CONCATENATE($B$105,"|",B108)</f>
        <v>11|3</v>
      </c>
      <c r="B108" s="52" t="s">
        <v>208</v>
      </c>
      <c r="C108" s="47" t="s">
        <v>479</v>
      </c>
      <c r="D108" s="48">
        <v>3</v>
      </c>
      <c r="E108" s="54"/>
      <c r="F108" s="54">
        <v>5</v>
      </c>
      <c r="G108" s="54">
        <v>10</v>
      </c>
      <c r="H108" s="54">
        <v>10</v>
      </c>
      <c r="I108" s="54">
        <v>15</v>
      </c>
      <c r="J108" s="53">
        <v>15</v>
      </c>
      <c r="K108" s="53">
        <v>15</v>
      </c>
      <c r="L108" s="53">
        <v>10</v>
      </c>
      <c r="M108" s="53">
        <v>10</v>
      </c>
      <c r="N108" s="53">
        <v>10</v>
      </c>
      <c r="O108" s="53"/>
      <c r="P108" s="53"/>
      <c r="S108" s="31">
        <f t="shared" si="16"/>
        <v>100</v>
      </c>
    </row>
    <row r="109" spans="1:19" x14ac:dyDescent="0.2">
      <c r="A109" s="51" t="str">
        <f t="shared" si="17"/>
        <v>11|4</v>
      </c>
      <c r="B109" s="52" t="s">
        <v>226</v>
      </c>
      <c r="C109" s="47" t="s">
        <v>474</v>
      </c>
      <c r="D109" s="48">
        <v>4</v>
      </c>
      <c r="E109" s="54"/>
      <c r="F109" s="54"/>
      <c r="G109" s="54">
        <v>5</v>
      </c>
      <c r="H109" s="54">
        <v>10</v>
      </c>
      <c r="I109" s="54">
        <v>10</v>
      </c>
      <c r="J109" s="53">
        <v>15</v>
      </c>
      <c r="K109" s="53">
        <v>15</v>
      </c>
      <c r="L109" s="53">
        <v>15</v>
      </c>
      <c r="M109" s="53">
        <v>10</v>
      </c>
      <c r="N109" s="53">
        <v>10</v>
      </c>
      <c r="O109" s="53">
        <v>10</v>
      </c>
      <c r="P109" s="53"/>
      <c r="S109" s="31">
        <f t="shared" si="16"/>
        <v>100</v>
      </c>
    </row>
    <row r="110" spans="1:19" x14ac:dyDescent="0.2">
      <c r="A110" s="51" t="str">
        <f t="shared" si="17"/>
        <v>11|5</v>
      </c>
      <c r="B110" s="52" t="s">
        <v>189</v>
      </c>
      <c r="C110" s="47" t="s">
        <v>475</v>
      </c>
      <c r="D110" s="48">
        <v>5</v>
      </c>
      <c r="E110" s="54"/>
      <c r="F110" s="54"/>
      <c r="G110" s="54">
        <v>10</v>
      </c>
      <c r="H110" s="54">
        <v>10</v>
      </c>
      <c r="I110" s="54">
        <v>10</v>
      </c>
      <c r="J110" s="53">
        <v>15</v>
      </c>
      <c r="K110" s="53">
        <v>15</v>
      </c>
      <c r="L110" s="53">
        <v>15</v>
      </c>
      <c r="M110" s="53">
        <v>15</v>
      </c>
      <c r="N110" s="53">
        <v>10</v>
      </c>
      <c r="O110" s="53"/>
      <c r="P110" s="53"/>
      <c r="S110" s="31">
        <f t="shared" si="16"/>
        <v>100</v>
      </c>
    </row>
    <row r="111" spans="1:19" x14ac:dyDescent="0.2">
      <c r="A111" s="51" t="str">
        <f t="shared" si="17"/>
        <v>11|6</v>
      </c>
      <c r="B111" s="52" t="s">
        <v>228</v>
      </c>
      <c r="C111" s="47" t="s">
        <v>481</v>
      </c>
      <c r="D111" s="48">
        <v>3</v>
      </c>
      <c r="E111" s="54"/>
      <c r="F111" s="54"/>
      <c r="G111" s="54"/>
      <c r="H111" s="54">
        <v>5</v>
      </c>
      <c r="I111" s="54">
        <v>10</v>
      </c>
      <c r="J111" s="54">
        <v>15</v>
      </c>
      <c r="K111" s="53">
        <v>15</v>
      </c>
      <c r="L111" s="53">
        <v>15</v>
      </c>
      <c r="M111" s="53">
        <v>15</v>
      </c>
      <c r="N111" s="53">
        <v>15</v>
      </c>
      <c r="O111" s="53">
        <v>10</v>
      </c>
      <c r="P111" s="53"/>
      <c r="S111" s="31">
        <f t="shared" si="16"/>
        <v>100</v>
      </c>
    </row>
    <row r="112" spans="1:19" x14ac:dyDescent="0.2">
      <c r="A112" s="51" t="str">
        <f t="shared" si="17"/>
        <v>11|7</v>
      </c>
      <c r="B112" s="52" t="s">
        <v>456</v>
      </c>
      <c r="C112" s="47" t="s">
        <v>482</v>
      </c>
      <c r="D112" s="48">
        <v>5</v>
      </c>
      <c r="E112" s="54"/>
      <c r="F112" s="54"/>
      <c r="G112" s="54"/>
      <c r="H112" s="54">
        <v>10</v>
      </c>
      <c r="I112" s="54">
        <v>10</v>
      </c>
      <c r="J112" s="53">
        <v>15</v>
      </c>
      <c r="K112" s="53">
        <v>20</v>
      </c>
      <c r="L112" s="53">
        <v>15</v>
      </c>
      <c r="M112" s="53">
        <v>10</v>
      </c>
      <c r="N112" s="53">
        <v>10</v>
      </c>
      <c r="O112" s="53">
        <v>10</v>
      </c>
      <c r="P112" s="53"/>
      <c r="S112" s="31">
        <f t="shared" si="16"/>
        <v>100</v>
      </c>
    </row>
    <row r="113" spans="1:19" x14ac:dyDescent="0.2">
      <c r="A113" s="51" t="str">
        <f t="shared" si="17"/>
        <v>11|8</v>
      </c>
      <c r="B113" s="52" t="s">
        <v>323</v>
      </c>
      <c r="C113" s="47" t="s">
        <v>484</v>
      </c>
      <c r="D113" s="48">
        <v>6</v>
      </c>
      <c r="E113" s="54"/>
      <c r="F113" s="54"/>
      <c r="G113" s="54"/>
      <c r="H113" s="54">
        <v>10</v>
      </c>
      <c r="I113" s="54">
        <v>10</v>
      </c>
      <c r="J113" s="53">
        <v>20</v>
      </c>
      <c r="K113" s="53">
        <v>20</v>
      </c>
      <c r="L113" s="53">
        <v>10</v>
      </c>
      <c r="M113" s="53">
        <v>10</v>
      </c>
      <c r="N113" s="53">
        <v>10</v>
      </c>
      <c r="O113" s="53">
        <v>10</v>
      </c>
      <c r="P113" s="53"/>
      <c r="S113" s="31">
        <f t="shared" si="16"/>
        <v>100</v>
      </c>
    </row>
    <row r="114" spans="1:19" x14ac:dyDescent="0.2">
      <c r="A114" s="51" t="str">
        <f t="shared" si="17"/>
        <v>11|9</v>
      </c>
      <c r="B114" s="52" t="s">
        <v>485</v>
      </c>
      <c r="C114" s="47" t="s">
        <v>486</v>
      </c>
      <c r="D114" s="48">
        <v>6</v>
      </c>
      <c r="E114" s="54">
        <v>5</v>
      </c>
      <c r="F114" s="54">
        <v>5</v>
      </c>
      <c r="G114" s="54">
        <v>10</v>
      </c>
      <c r="H114" s="54">
        <v>10</v>
      </c>
      <c r="I114" s="54">
        <v>10</v>
      </c>
      <c r="J114" s="53">
        <v>10</v>
      </c>
      <c r="K114" s="53">
        <v>10</v>
      </c>
      <c r="L114" s="53">
        <v>10</v>
      </c>
      <c r="M114" s="53">
        <v>10</v>
      </c>
      <c r="N114" s="53">
        <v>10</v>
      </c>
      <c r="O114" s="53">
        <v>10</v>
      </c>
      <c r="P114" s="53"/>
      <c r="S114" s="31">
        <f t="shared" si="16"/>
        <v>100</v>
      </c>
    </row>
    <row r="115" spans="1:19" x14ac:dyDescent="0.2">
      <c r="A115" s="51" t="str">
        <f t="shared" si="17"/>
        <v>11|10</v>
      </c>
      <c r="B115" s="52" t="s">
        <v>487</v>
      </c>
      <c r="C115" s="47" t="s">
        <v>476</v>
      </c>
      <c r="D115" s="48"/>
      <c r="E115" s="54">
        <v>10</v>
      </c>
      <c r="F115" s="54">
        <v>10</v>
      </c>
      <c r="G115" s="54">
        <v>15</v>
      </c>
      <c r="H115" s="54">
        <v>15</v>
      </c>
      <c r="I115" s="54">
        <v>15</v>
      </c>
      <c r="J115" s="53">
        <v>10</v>
      </c>
      <c r="K115" s="53">
        <v>10</v>
      </c>
      <c r="L115" s="53">
        <v>10</v>
      </c>
      <c r="M115" s="53">
        <v>5</v>
      </c>
      <c r="N115" s="53"/>
      <c r="O115" s="53"/>
      <c r="P115" s="53"/>
      <c r="S115" s="31">
        <f t="shared" si="16"/>
        <v>100</v>
      </c>
    </row>
    <row r="116" spans="1:19" x14ac:dyDescent="0.2">
      <c r="A116" s="51" t="str">
        <f t="shared" si="17"/>
        <v>11|11</v>
      </c>
      <c r="B116" s="52" t="s">
        <v>736</v>
      </c>
      <c r="C116" s="47" t="s">
        <v>772</v>
      </c>
      <c r="D116" s="48"/>
      <c r="E116" s="54">
        <v>1</v>
      </c>
      <c r="F116" s="54">
        <v>1</v>
      </c>
      <c r="G116" s="54">
        <v>10</v>
      </c>
      <c r="H116" s="54">
        <v>15</v>
      </c>
      <c r="I116" s="54">
        <v>15</v>
      </c>
      <c r="J116" s="53">
        <v>15</v>
      </c>
      <c r="K116" s="53">
        <v>15</v>
      </c>
      <c r="L116" s="53">
        <v>15</v>
      </c>
      <c r="M116" s="53">
        <v>5</v>
      </c>
      <c r="N116" s="53">
        <v>3</v>
      </c>
      <c r="O116" s="53">
        <v>5</v>
      </c>
      <c r="P116" s="53"/>
      <c r="S116" s="31">
        <f t="shared" si="16"/>
        <v>100</v>
      </c>
    </row>
    <row r="117" spans="1:19" ht="5.45" customHeight="1" x14ac:dyDescent="0.2"/>
    <row r="118" spans="1:19" ht="13.5" thickBot="1" x14ac:dyDescent="0.25">
      <c r="A118" s="55" t="s">
        <v>80</v>
      </c>
      <c r="B118" s="56">
        <v>12</v>
      </c>
      <c r="C118" s="57"/>
      <c r="D118" s="58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</row>
    <row r="119" spans="1:19" ht="13.5" thickTop="1" x14ac:dyDescent="0.2">
      <c r="A119" s="59" t="str">
        <f>CONCATENATE($B$118,"|",B119)</f>
        <v>12|1</v>
      </c>
      <c r="B119" s="46">
        <v>1</v>
      </c>
      <c r="C119" s="47" t="s">
        <v>477</v>
      </c>
      <c r="D119" s="48">
        <v>1</v>
      </c>
      <c r="E119" s="49">
        <v>10</v>
      </c>
      <c r="F119" s="49">
        <v>20</v>
      </c>
      <c r="G119" s="49">
        <v>20</v>
      </c>
      <c r="H119" s="49">
        <v>20</v>
      </c>
      <c r="I119" s="49">
        <v>10</v>
      </c>
      <c r="J119" s="50">
        <v>10</v>
      </c>
      <c r="K119" s="50">
        <v>10</v>
      </c>
      <c r="L119" s="50"/>
      <c r="M119" s="50"/>
      <c r="N119" s="50"/>
      <c r="O119" s="50"/>
      <c r="P119" s="50"/>
      <c r="S119" s="31">
        <f>SUM(E119:P119)</f>
        <v>100</v>
      </c>
    </row>
    <row r="120" spans="1:19" x14ac:dyDescent="0.2">
      <c r="A120" s="51" t="str">
        <f>CONCATENATE($B$118,"|",B120)</f>
        <v>12|2</v>
      </c>
      <c r="B120" s="52" t="s">
        <v>190</v>
      </c>
      <c r="C120" s="47" t="s">
        <v>473</v>
      </c>
      <c r="D120" s="48">
        <v>2</v>
      </c>
      <c r="E120" s="49">
        <v>5</v>
      </c>
      <c r="F120" s="49">
        <v>10</v>
      </c>
      <c r="G120" s="49">
        <v>10</v>
      </c>
      <c r="H120" s="49">
        <v>15</v>
      </c>
      <c r="I120" s="49">
        <v>15</v>
      </c>
      <c r="J120" s="53">
        <v>15</v>
      </c>
      <c r="K120" s="53">
        <v>10</v>
      </c>
      <c r="L120" s="53">
        <v>10</v>
      </c>
      <c r="M120" s="53">
        <v>10</v>
      </c>
      <c r="N120" s="53"/>
      <c r="O120" s="53"/>
      <c r="P120" s="53"/>
      <c r="S120" s="31">
        <f t="shared" ref="S120:S129" si="18">SUM(E120:P120)</f>
        <v>100</v>
      </c>
    </row>
    <row r="121" spans="1:19" x14ac:dyDescent="0.2">
      <c r="A121" s="51" t="str">
        <f t="shared" ref="A121:A129" si="19">CONCATENATE($B$118,"|",B121)</f>
        <v>12|3</v>
      </c>
      <c r="B121" s="52" t="s">
        <v>208</v>
      </c>
      <c r="C121" s="47" t="s">
        <v>479</v>
      </c>
      <c r="D121" s="48">
        <v>3</v>
      </c>
      <c r="E121" s="54"/>
      <c r="F121" s="54">
        <v>5</v>
      </c>
      <c r="G121" s="54">
        <v>10</v>
      </c>
      <c r="H121" s="54">
        <v>10</v>
      </c>
      <c r="I121" s="54">
        <v>10</v>
      </c>
      <c r="J121" s="53">
        <v>15</v>
      </c>
      <c r="K121" s="53">
        <v>15</v>
      </c>
      <c r="L121" s="53">
        <v>10</v>
      </c>
      <c r="M121" s="53">
        <v>10</v>
      </c>
      <c r="N121" s="53">
        <v>10</v>
      </c>
      <c r="O121" s="53">
        <v>5</v>
      </c>
      <c r="P121" s="53"/>
      <c r="S121" s="31">
        <f t="shared" si="18"/>
        <v>100</v>
      </c>
    </row>
    <row r="122" spans="1:19" x14ac:dyDescent="0.2">
      <c r="A122" s="51" t="str">
        <f t="shared" si="19"/>
        <v>12|4</v>
      </c>
      <c r="B122" s="52" t="s">
        <v>226</v>
      </c>
      <c r="C122" s="47" t="s">
        <v>474</v>
      </c>
      <c r="D122" s="48">
        <v>4</v>
      </c>
      <c r="E122" s="54"/>
      <c r="F122" s="54"/>
      <c r="G122" s="54">
        <v>5</v>
      </c>
      <c r="H122" s="54">
        <v>10</v>
      </c>
      <c r="I122" s="54">
        <v>10</v>
      </c>
      <c r="J122" s="53">
        <v>10</v>
      </c>
      <c r="K122" s="53">
        <v>10</v>
      </c>
      <c r="L122" s="53">
        <v>15</v>
      </c>
      <c r="M122" s="53">
        <v>10</v>
      </c>
      <c r="N122" s="53">
        <v>15</v>
      </c>
      <c r="O122" s="53">
        <v>10</v>
      </c>
      <c r="P122" s="53">
        <v>5</v>
      </c>
      <c r="S122" s="31">
        <f t="shared" si="18"/>
        <v>100</v>
      </c>
    </row>
    <row r="123" spans="1:19" x14ac:dyDescent="0.2">
      <c r="A123" s="51" t="str">
        <f t="shared" si="19"/>
        <v>12|5</v>
      </c>
      <c r="B123" s="52" t="s">
        <v>189</v>
      </c>
      <c r="C123" s="47" t="s">
        <v>475</v>
      </c>
      <c r="D123" s="48">
        <v>5</v>
      </c>
      <c r="E123" s="54"/>
      <c r="F123" s="54"/>
      <c r="G123" s="54">
        <v>10</v>
      </c>
      <c r="H123" s="54">
        <v>10</v>
      </c>
      <c r="I123" s="54">
        <v>10</v>
      </c>
      <c r="J123" s="53">
        <v>10</v>
      </c>
      <c r="K123" s="53">
        <v>10</v>
      </c>
      <c r="L123" s="53">
        <v>15</v>
      </c>
      <c r="M123" s="53">
        <v>15</v>
      </c>
      <c r="N123" s="53">
        <v>10</v>
      </c>
      <c r="O123" s="53">
        <v>10</v>
      </c>
      <c r="P123" s="53"/>
      <c r="S123" s="31">
        <f t="shared" si="18"/>
        <v>100</v>
      </c>
    </row>
    <row r="124" spans="1:19" x14ac:dyDescent="0.2">
      <c r="A124" s="51" t="str">
        <f t="shared" si="19"/>
        <v>12|6</v>
      </c>
      <c r="B124" s="52" t="s">
        <v>228</v>
      </c>
      <c r="C124" s="47" t="s">
        <v>481</v>
      </c>
      <c r="D124" s="48">
        <v>3</v>
      </c>
      <c r="E124" s="54"/>
      <c r="F124" s="54"/>
      <c r="G124" s="54"/>
      <c r="H124" s="54">
        <v>5</v>
      </c>
      <c r="I124" s="54">
        <v>10</v>
      </c>
      <c r="J124" s="54">
        <v>10</v>
      </c>
      <c r="K124" s="53">
        <v>10</v>
      </c>
      <c r="L124" s="53">
        <v>15</v>
      </c>
      <c r="M124" s="53">
        <v>15</v>
      </c>
      <c r="N124" s="53">
        <v>15</v>
      </c>
      <c r="O124" s="53">
        <v>10</v>
      </c>
      <c r="P124" s="53">
        <v>10</v>
      </c>
      <c r="S124" s="31">
        <f t="shared" si="18"/>
        <v>100</v>
      </c>
    </row>
    <row r="125" spans="1:19" x14ac:dyDescent="0.2">
      <c r="A125" s="51" t="str">
        <f t="shared" si="19"/>
        <v>12|7</v>
      </c>
      <c r="B125" s="52" t="s">
        <v>456</v>
      </c>
      <c r="C125" s="47" t="s">
        <v>482</v>
      </c>
      <c r="D125" s="48">
        <v>5</v>
      </c>
      <c r="E125" s="54"/>
      <c r="F125" s="54"/>
      <c r="G125" s="54"/>
      <c r="H125" s="54">
        <v>5</v>
      </c>
      <c r="I125" s="54">
        <v>10</v>
      </c>
      <c r="J125" s="53">
        <v>10</v>
      </c>
      <c r="K125" s="53">
        <v>15</v>
      </c>
      <c r="L125" s="53">
        <v>15</v>
      </c>
      <c r="M125" s="53">
        <v>15</v>
      </c>
      <c r="N125" s="53">
        <v>10</v>
      </c>
      <c r="O125" s="53">
        <v>10</v>
      </c>
      <c r="P125" s="53">
        <v>10</v>
      </c>
      <c r="S125" s="31">
        <f t="shared" si="18"/>
        <v>100</v>
      </c>
    </row>
    <row r="126" spans="1:19" x14ac:dyDescent="0.2">
      <c r="A126" s="51" t="str">
        <f t="shared" si="19"/>
        <v>12|8</v>
      </c>
      <c r="B126" s="52" t="s">
        <v>323</v>
      </c>
      <c r="C126" s="47" t="s">
        <v>484</v>
      </c>
      <c r="D126" s="48">
        <v>6</v>
      </c>
      <c r="E126" s="54"/>
      <c r="F126" s="54"/>
      <c r="G126" s="54"/>
      <c r="H126" s="54">
        <v>10</v>
      </c>
      <c r="I126" s="54">
        <v>10</v>
      </c>
      <c r="J126" s="53">
        <v>10</v>
      </c>
      <c r="K126" s="53">
        <v>20</v>
      </c>
      <c r="L126" s="53">
        <v>10</v>
      </c>
      <c r="M126" s="53">
        <v>10</v>
      </c>
      <c r="N126" s="53">
        <v>10</v>
      </c>
      <c r="O126" s="53">
        <v>10</v>
      </c>
      <c r="P126" s="53">
        <v>10</v>
      </c>
      <c r="S126" s="31">
        <f t="shared" si="18"/>
        <v>100</v>
      </c>
    </row>
    <row r="127" spans="1:19" x14ac:dyDescent="0.2">
      <c r="A127" s="51" t="str">
        <f t="shared" si="19"/>
        <v>12|9</v>
      </c>
      <c r="B127" s="52" t="s">
        <v>485</v>
      </c>
      <c r="C127" s="47" t="s">
        <v>486</v>
      </c>
      <c r="D127" s="48">
        <v>6</v>
      </c>
      <c r="E127" s="54">
        <v>5</v>
      </c>
      <c r="F127" s="54">
        <v>5</v>
      </c>
      <c r="G127" s="54">
        <v>5</v>
      </c>
      <c r="H127" s="54">
        <v>5</v>
      </c>
      <c r="I127" s="54">
        <v>10</v>
      </c>
      <c r="J127" s="53">
        <v>10</v>
      </c>
      <c r="K127" s="53">
        <v>10</v>
      </c>
      <c r="L127" s="53">
        <v>10</v>
      </c>
      <c r="M127" s="53">
        <v>10</v>
      </c>
      <c r="N127" s="53">
        <v>10</v>
      </c>
      <c r="O127" s="53">
        <v>10</v>
      </c>
      <c r="P127" s="53">
        <v>10</v>
      </c>
      <c r="S127" s="31">
        <f t="shared" si="18"/>
        <v>100</v>
      </c>
    </row>
    <row r="128" spans="1:19" x14ac:dyDescent="0.2">
      <c r="A128" s="51" t="str">
        <f t="shared" si="19"/>
        <v>12|10</v>
      </c>
      <c r="B128" s="52" t="s">
        <v>487</v>
      </c>
      <c r="C128" s="47" t="s">
        <v>476</v>
      </c>
      <c r="D128" s="48"/>
      <c r="E128" s="54">
        <v>10</v>
      </c>
      <c r="F128" s="54">
        <v>15</v>
      </c>
      <c r="G128" s="54">
        <v>10</v>
      </c>
      <c r="H128" s="54">
        <v>10</v>
      </c>
      <c r="I128" s="54">
        <v>10</v>
      </c>
      <c r="J128" s="53">
        <v>10</v>
      </c>
      <c r="K128" s="53">
        <v>10</v>
      </c>
      <c r="L128" s="53">
        <v>10</v>
      </c>
      <c r="M128" s="53">
        <v>10</v>
      </c>
      <c r="N128" s="53">
        <v>5</v>
      </c>
      <c r="O128" s="53"/>
      <c r="P128" s="53"/>
      <c r="S128" s="31">
        <f t="shared" si="18"/>
        <v>100</v>
      </c>
    </row>
    <row r="129" spans="1:19" x14ac:dyDescent="0.2">
      <c r="A129" s="51" t="str">
        <f t="shared" si="19"/>
        <v>12|11</v>
      </c>
      <c r="B129" s="52" t="s">
        <v>736</v>
      </c>
      <c r="C129" s="47" t="s">
        <v>772</v>
      </c>
      <c r="D129" s="48"/>
      <c r="E129" s="54">
        <v>1</v>
      </c>
      <c r="F129" s="54">
        <v>1</v>
      </c>
      <c r="G129" s="54">
        <v>10</v>
      </c>
      <c r="H129" s="54">
        <v>10</v>
      </c>
      <c r="I129" s="54">
        <v>15</v>
      </c>
      <c r="J129" s="53">
        <v>15</v>
      </c>
      <c r="K129" s="53">
        <v>15</v>
      </c>
      <c r="L129" s="53">
        <v>15</v>
      </c>
      <c r="M129" s="53">
        <v>5</v>
      </c>
      <c r="N129" s="53">
        <v>3</v>
      </c>
      <c r="O129" s="53">
        <v>5</v>
      </c>
      <c r="P129" s="53">
        <v>5</v>
      </c>
      <c r="S129" s="31">
        <f t="shared" si="18"/>
        <v>100</v>
      </c>
    </row>
    <row r="131" spans="1:19" x14ac:dyDescent="0.2">
      <c r="S131" s="31">
        <f>SUM(S2:S129)</f>
        <v>11000</v>
      </c>
    </row>
  </sheetData>
  <sheetProtection sheet="1" objects="1" scenarios="1"/>
  <printOptions horizontalCentered="1" verticalCentered="1"/>
  <pageMargins left="0.78740157480314965" right="0.78740157480314965" top="0.98425196850393704" bottom="0.59055118110236227" header="0.51181102362204722" footer="0.51181102362204722"/>
  <pageSetup paperSize="8" scale="94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131"/>
  <sheetViews>
    <sheetView showZeros="0" topLeftCell="D112" zoomScale="112" zoomScaleNormal="112" workbookViewId="0">
      <selection sqref="A1:C1"/>
    </sheetView>
  </sheetViews>
  <sheetFormatPr defaultColWidth="10.6640625" defaultRowHeight="12.75" x14ac:dyDescent="0.2"/>
  <cols>
    <col min="1" max="1" width="10.6640625" style="31" customWidth="1"/>
    <col min="2" max="2" width="13.1640625" style="31" customWidth="1"/>
    <col min="3" max="3" width="38" style="31" customWidth="1"/>
    <col min="4" max="4" width="3.83203125" style="31" customWidth="1"/>
    <col min="5" max="16" width="10" style="31" customWidth="1"/>
    <col min="17" max="17" width="10.6640625" style="31" customWidth="1"/>
    <col min="18" max="255" width="10.6640625" style="31"/>
    <col min="256" max="256" width="13.1640625" style="31" customWidth="1"/>
    <col min="257" max="257" width="79" style="31" customWidth="1"/>
    <col min="258" max="258" width="3.83203125" style="31" customWidth="1"/>
    <col min="259" max="271" width="12.5" style="31" customWidth="1"/>
    <col min="272" max="272" width="8.5" style="31" customWidth="1"/>
    <col min="273" max="511" width="10.6640625" style="31"/>
    <col min="512" max="512" width="13.1640625" style="31" customWidth="1"/>
    <col min="513" max="513" width="79" style="31" customWidth="1"/>
    <col min="514" max="514" width="3.83203125" style="31" customWidth="1"/>
    <col min="515" max="527" width="12.5" style="31" customWidth="1"/>
    <col min="528" max="528" width="8.5" style="31" customWidth="1"/>
    <col min="529" max="767" width="10.6640625" style="31"/>
    <col min="768" max="768" width="13.1640625" style="31" customWidth="1"/>
    <col min="769" max="769" width="79" style="31" customWidth="1"/>
    <col min="770" max="770" width="3.83203125" style="31" customWidth="1"/>
    <col min="771" max="783" width="12.5" style="31" customWidth="1"/>
    <col min="784" max="784" width="8.5" style="31" customWidth="1"/>
    <col min="785" max="1023" width="10.6640625" style="31"/>
    <col min="1024" max="1024" width="13.1640625" style="31" customWidth="1"/>
    <col min="1025" max="1025" width="79" style="31" customWidth="1"/>
    <col min="1026" max="1026" width="3.83203125" style="31" customWidth="1"/>
    <col min="1027" max="1039" width="12.5" style="31" customWidth="1"/>
    <col min="1040" max="1040" width="8.5" style="31" customWidth="1"/>
    <col min="1041" max="1279" width="10.6640625" style="31"/>
    <col min="1280" max="1280" width="13.1640625" style="31" customWidth="1"/>
    <col min="1281" max="1281" width="79" style="31" customWidth="1"/>
    <col min="1282" max="1282" width="3.83203125" style="31" customWidth="1"/>
    <col min="1283" max="1295" width="12.5" style="31" customWidth="1"/>
    <col min="1296" max="1296" width="8.5" style="31" customWidth="1"/>
    <col min="1297" max="1535" width="10.6640625" style="31"/>
    <col min="1536" max="1536" width="13.1640625" style="31" customWidth="1"/>
    <col min="1537" max="1537" width="79" style="31" customWidth="1"/>
    <col min="1538" max="1538" width="3.83203125" style="31" customWidth="1"/>
    <col min="1539" max="1551" width="12.5" style="31" customWidth="1"/>
    <col min="1552" max="1552" width="8.5" style="31" customWidth="1"/>
    <col min="1553" max="1791" width="10.6640625" style="31"/>
    <col min="1792" max="1792" width="13.1640625" style="31" customWidth="1"/>
    <col min="1793" max="1793" width="79" style="31" customWidth="1"/>
    <col min="1794" max="1794" width="3.83203125" style="31" customWidth="1"/>
    <col min="1795" max="1807" width="12.5" style="31" customWidth="1"/>
    <col min="1808" max="1808" width="8.5" style="31" customWidth="1"/>
    <col min="1809" max="2047" width="10.6640625" style="31"/>
    <col min="2048" max="2048" width="13.1640625" style="31" customWidth="1"/>
    <col min="2049" max="2049" width="79" style="31" customWidth="1"/>
    <col min="2050" max="2050" width="3.83203125" style="31" customWidth="1"/>
    <col min="2051" max="2063" width="12.5" style="31" customWidth="1"/>
    <col min="2064" max="2064" width="8.5" style="31" customWidth="1"/>
    <col min="2065" max="2303" width="10.6640625" style="31"/>
    <col min="2304" max="2304" width="13.1640625" style="31" customWidth="1"/>
    <col min="2305" max="2305" width="79" style="31" customWidth="1"/>
    <col min="2306" max="2306" width="3.83203125" style="31" customWidth="1"/>
    <col min="2307" max="2319" width="12.5" style="31" customWidth="1"/>
    <col min="2320" max="2320" width="8.5" style="31" customWidth="1"/>
    <col min="2321" max="2559" width="10.6640625" style="31"/>
    <col min="2560" max="2560" width="13.1640625" style="31" customWidth="1"/>
    <col min="2561" max="2561" width="79" style="31" customWidth="1"/>
    <col min="2562" max="2562" width="3.83203125" style="31" customWidth="1"/>
    <col min="2563" max="2575" width="12.5" style="31" customWidth="1"/>
    <col min="2576" max="2576" width="8.5" style="31" customWidth="1"/>
    <col min="2577" max="2815" width="10.6640625" style="31"/>
    <col min="2816" max="2816" width="13.1640625" style="31" customWidth="1"/>
    <col min="2817" max="2817" width="79" style="31" customWidth="1"/>
    <col min="2818" max="2818" width="3.83203125" style="31" customWidth="1"/>
    <col min="2819" max="2831" width="12.5" style="31" customWidth="1"/>
    <col min="2832" max="2832" width="8.5" style="31" customWidth="1"/>
    <col min="2833" max="3071" width="10.6640625" style="31"/>
    <col min="3072" max="3072" width="13.1640625" style="31" customWidth="1"/>
    <col min="3073" max="3073" width="79" style="31" customWidth="1"/>
    <col min="3074" max="3074" width="3.83203125" style="31" customWidth="1"/>
    <col min="3075" max="3087" width="12.5" style="31" customWidth="1"/>
    <col min="3088" max="3088" width="8.5" style="31" customWidth="1"/>
    <col min="3089" max="3327" width="10.6640625" style="31"/>
    <col min="3328" max="3328" width="13.1640625" style="31" customWidth="1"/>
    <col min="3329" max="3329" width="79" style="31" customWidth="1"/>
    <col min="3330" max="3330" width="3.83203125" style="31" customWidth="1"/>
    <col min="3331" max="3343" width="12.5" style="31" customWidth="1"/>
    <col min="3344" max="3344" width="8.5" style="31" customWidth="1"/>
    <col min="3345" max="3583" width="10.6640625" style="31"/>
    <col min="3584" max="3584" width="13.1640625" style="31" customWidth="1"/>
    <col min="3585" max="3585" width="79" style="31" customWidth="1"/>
    <col min="3586" max="3586" width="3.83203125" style="31" customWidth="1"/>
    <col min="3587" max="3599" width="12.5" style="31" customWidth="1"/>
    <col min="3600" max="3600" width="8.5" style="31" customWidth="1"/>
    <col min="3601" max="3839" width="10.6640625" style="31"/>
    <col min="3840" max="3840" width="13.1640625" style="31" customWidth="1"/>
    <col min="3841" max="3841" width="79" style="31" customWidth="1"/>
    <col min="3842" max="3842" width="3.83203125" style="31" customWidth="1"/>
    <col min="3843" max="3855" width="12.5" style="31" customWidth="1"/>
    <col min="3856" max="3856" width="8.5" style="31" customWidth="1"/>
    <col min="3857" max="4095" width="10.6640625" style="31"/>
    <col min="4096" max="4096" width="13.1640625" style="31" customWidth="1"/>
    <col min="4097" max="4097" width="79" style="31" customWidth="1"/>
    <col min="4098" max="4098" width="3.83203125" style="31" customWidth="1"/>
    <col min="4099" max="4111" width="12.5" style="31" customWidth="1"/>
    <col min="4112" max="4112" width="8.5" style="31" customWidth="1"/>
    <col min="4113" max="4351" width="10.6640625" style="31"/>
    <col min="4352" max="4352" width="13.1640625" style="31" customWidth="1"/>
    <col min="4353" max="4353" width="79" style="31" customWidth="1"/>
    <col min="4354" max="4354" width="3.83203125" style="31" customWidth="1"/>
    <col min="4355" max="4367" width="12.5" style="31" customWidth="1"/>
    <col min="4368" max="4368" width="8.5" style="31" customWidth="1"/>
    <col min="4369" max="4607" width="10.6640625" style="31"/>
    <col min="4608" max="4608" width="13.1640625" style="31" customWidth="1"/>
    <col min="4609" max="4609" width="79" style="31" customWidth="1"/>
    <col min="4610" max="4610" width="3.83203125" style="31" customWidth="1"/>
    <col min="4611" max="4623" width="12.5" style="31" customWidth="1"/>
    <col min="4624" max="4624" width="8.5" style="31" customWidth="1"/>
    <col min="4625" max="4863" width="10.6640625" style="31"/>
    <col min="4864" max="4864" width="13.1640625" style="31" customWidth="1"/>
    <col min="4865" max="4865" width="79" style="31" customWidth="1"/>
    <col min="4866" max="4866" width="3.83203125" style="31" customWidth="1"/>
    <col min="4867" max="4879" width="12.5" style="31" customWidth="1"/>
    <col min="4880" max="4880" width="8.5" style="31" customWidth="1"/>
    <col min="4881" max="5119" width="10.6640625" style="31"/>
    <col min="5120" max="5120" width="13.1640625" style="31" customWidth="1"/>
    <col min="5121" max="5121" width="79" style="31" customWidth="1"/>
    <col min="5122" max="5122" width="3.83203125" style="31" customWidth="1"/>
    <col min="5123" max="5135" width="12.5" style="31" customWidth="1"/>
    <col min="5136" max="5136" width="8.5" style="31" customWidth="1"/>
    <col min="5137" max="5375" width="10.6640625" style="31"/>
    <col min="5376" max="5376" width="13.1640625" style="31" customWidth="1"/>
    <col min="5377" max="5377" width="79" style="31" customWidth="1"/>
    <col min="5378" max="5378" width="3.83203125" style="31" customWidth="1"/>
    <col min="5379" max="5391" width="12.5" style="31" customWidth="1"/>
    <col min="5392" max="5392" width="8.5" style="31" customWidth="1"/>
    <col min="5393" max="5631" width="10.6640625" style="31"/>
    <col min="5632" max="5632" width="13.1640625" style="31" customWidth="1"/>
    <col min="5633" max="5633" width="79" style="31" customWidth="1"/>
    <col min="5634" max="5634" width="3.83203125" style="31" customWidth="1"/>
    <col min="5635" max="5647" width="12.5" style="31" customWidth="1"/>
    <col min="5648" max="5648" width="8.5" style="31" customWidth="1"/>
    <col min="5649" max="5887" width="10.6640625" style="31"/>
    <col min="5888" max="5888" width="13.1640625" style="31" customWidth="1"/>
    <col min="5889" max="5889" width="79" style="31" customWidth="1"/>
    <col min="5890" max="5890" width="3.83203125" style="31" customWidth="1"/>
    <col min="5891" max="5903" width="12.5" style="31" customWidth="1"/>
    <col min="5904" max="5904" width="8.5" style="31" customWidth="1"/>
    <col min="5905" max="6143" width="10.6640625" style="31"/>
    <col min="6144" max="6144" width="13.1640625" style="31" customWidth="1"/>
    <col min="6145" max="6145" width="79" style="31" customWidth="1"/>
    <col min="6146" max="6146" width="3.83203125" style="31" customWidth="1"/>
    <col min="6147" max="6159" width="12.5" style="31" customWidth="1"/>
    <col min="6160" max="6160" width="8.5" style="31" customWidth="1"/>
    <col min="6161" max="6399" width="10.6640625" style="31"/>
    <col min="6400" max="6400" width="13.1640625" style="31" customWidth="1"/>
    <col min="6401" max="6401" width="79" style="31" customWidth="1"/>
    <col min="6402" max="6402" width="3.83203125" style="31" customWidth="1"/>
    <col min="6403" max="6415" width="12.5" style="31" customWidth="1"/>
    <col min="6416" max="6416" width="8.5" style="31" customWidth="1"/>
    <col min="6417" max="6655" width="10.6640625" style="31"/>
    <col min="6656" max="6656" width="13.1640625" style="31" customWidth="1"/>
    <col min="6657" max="6657" width="79" style="31" customWidth="1"/>
    <col min="6658" max="6658" width="3.83203125" style="31" customWidth="1"/>
    <col min="6659" max="6671" width="12.5" style="31" customWidth="1"/>
    <col min="6672" max="6672" width="8.5" style="31" customWidth="1"/>
    <col min="6673" max="6911" width="10.6640625" style="31"/>
    <col min="6912" max="6912" width="13.1640625" style="31" customWidth="1"/>
    <col min="6913" max="6913" width="79" style="31" customWidth="1"/>
    <col min="6914" max="6914" width="3.83203125" style="31" customWidth="1"/>
    <col min="6915" max="6927" width="12.5" style="31" customWidth="1"/>
    <col min="6928" max="6928" width="8.5" style="31" customWidth="1"/>
    <col min="6929" max="7167" width="10.6640625" style="31"/>
    <col min="7168" max="7168" width="13.1640625" style="31" customWidth="1"/>
    <col min="7169" max="7169" width="79" style="31" customWidth="1"/>
    <col min="7170" max="7170" width="3.83203125" style="31" customWidth="1"/>
    <col min="7171" max="7183" width="12.5" style="31" customWidth="1"/>
    <col min="7184" max="7184" width="8.5" style="31" customWidth="1"/>
    <col min="7185" max="7423" width="10.6640625" style="31"/>
    <col min="7424" max="7424" width="13.1640625" style="31" customWidth="1"/>
    <col min="7425" max="7425" width="79" style="31" customWidth="1"/>
    <col min="7426" max="7426" width="3.83203125" style="31" customWidth="1"/>
    <col min="7427" max="7439" width="12.5" style="31" customWidth="1"/>
    <col min="7440" max="7440" width="8.5" style="31" customWidth="1"/>
    <col min="7441" max="7679" width="10.6640625" style="31"/>
    <col min="7680" max="7680" width="13.1640625" style="31" customWidth="1"/>
    <col min="7681" max="7681" width="79" style="31" customWidth="1"/>
    <col min="7682" max="7682" width="3.83203125" style="31" customWidth="1"/>
    <col min="7683" max="7695" width="12.5" style="31" customWidth="1"/>
    <col min="7696" max="7696" width="8.5" style="31" customWidth="1"/>
    <col min="7697" max="7935" width="10.6640625" style="31"/>
    <col min="7936" max="7936" width="13.1640625" style="31" customWidth="1"/>
    <col min="7937" max="7937" width="79" style="31" customWidth="1"/>
    <col min="7938" max="7938" width="3.83203125" style="31" customWidth="1"/>
    <col min="7939" max="7951" width="12.5" style="31" customWidth="1"/>
    <col min="7952" max="7952" width="8.5" style="31" customWidth="1"/>
    <col min="7953" max="8191" width="10.6640625" style="31"/>
    <col min="8192" max="8192" width="13.1640625" style="31" customWidth="1"/>
    <col min="8193" max="8193" width="79" style="31" customWidth="1"/>
    <col min="8194" max="8194" width="3.83203125" style="31" customWidth="1"/>
    <col min="8195" max="8207" width="12.5" style="31" customWidth="1"/>
    <col min="8208" max="8208" width="8.5" style="31" customWidth="1"/>
    <col min="8209" max="8447" width="10.6640625" style="31"/>
    <col min="8448" max="8448" width="13.1640625" style="31" customWidth="1"/>
    <col min="8449" max="8449" width="79" style="31" customWidth="1"/>
    <col min="8450" max="8450" width="3.83203125" style="31" customWidth="1"/>
    <col min="8451" max="8463" width="12.5" style="31" customWidth="1"/>
    <col min="8464" max="8464" width="8.5" style="31" customWidth="1"/>
    <col min="8465" max="8703" width="10.6640625" style="31"/>
    <col min="8704" max="8704" width="13.1640625" style="31" customWidth="1"/>
    <col min="8705" max="8705" width="79" style="31" customWidth="1"/>
    <col min="8706" max="8706" width="3.83203125" style="31" customWidth="1"/>
    <col min="8707" max="8719" width="12.5" style="31" customWidth="1"/>
    <col min="8720" max="8720" width="8.5" style="31" customWidth="1"/>
    <col min="8721" max="8959" width="10.6640625" style="31"/>
    <col min="8960" max="8960" width="13.1640625" style="31" customWidth="1"/>
    <col min="8961" max="8961" width="79" style="31" customWidth="1"/>
    <col min="8962" max="8962" width="3.83203125" style="31" customWidth="1"/>
    <col min="8963" max="8975" width="12.5" style="31" customWidth="1"/>
    <col min="8976" max="8976" width="8.5" style="31" customWidth="1"/>
    <col min="8977" max="9215" width="10.6640625" style="31"/>
    <col min="9216" max="9216" width="13.1640625" style="31" customWidth="1"/>
    <col min="9217" max="9217" width="79" style="31" customWidth="1"/>
    <col min="9218" max="9218" width="3.83203125" style="31" customWidth="1"/>
    <col min="9219" max="9231" width="12.5" style="31" customWidth="1"/>
    <col min="9232" max="9232" width="8.5" style="31" customWidth="1"/>
    <col min="9233" max="9471" width="10.6640625" style="31"/>
    <col min="9472" max="9472" width="13.1640625" style="31" customWidth="1"/>
    <col min="9473" max="9473" width="79" style="31" customWidth="1"/>
    <col min="9474" max="9474" width="3.83203125" style="31" customWidth="1"/>
    <col min="9475" max="9487" width="12.5" style="31" customWidth="1"/>
    <col min="9488" max="9488" width="8.5" style="31" customWidth="1"/>
    <col min="9489" max="9727" width="10.6640625" style="31"/>
    <col min="9728" max="9728" width="13.1640625" style="31" customWidth="1"/>
    <col min="9729" max="9729" width="79" style="31" customWidth="1"/>
    <col min="9730" max="9730" width="3.83203125" style="31" customWidth="1"/>
    <col min="9731" max="9743" width="12.5" style="31" customWidth="1"/>
    <col min="9744" max="9744" width="8.5" style="31" customWidth="1"/>
    <col min="9745" max="9983" width="10.6640625" style="31"/>
    <col min="9984" max="9984" width="13.1640625" style="31" customWidth="1"/>
    <col min="9985" max="9985" width="79" style="31" customWidth="1"/>
    <col min="9986" max="9986" width="3.83203125" style="31" customWidth="1"/>
    <col min="9987" max="9999" width="12.5" style="31" customWidth="1"/>
    <col min="10000" max="10000" width="8.5" style="31" customWidth="1"/>
    <col min="10001" max="10239" width="10.6640625" style="31"/>
    <col min="10240" max="10240" width="13.1640625" style="31" customWidth="1"/>
    <col min="10241" max="10241" width="79" style="31" customWidth="1"/>
    <col min="10242" max="10242" width="3.83203125" style="31" customWidth="1"/>
    <col min="10243" max="10255" width="12.5" style="31" customWidth="1"/>
    <col min="10256" max="10256" width="8.5" style="31" customWidth="1"/>
    <col min="10257" max="10495" width="10.6640625" style="31"/>
    <col min="10496" max="10496" width="13.1640625" style="31" customWidth="1"/>
    <col min="10497" max="10497" width="79" style="31" customWidth="1"/>
    <col min="10498" max="10498" width="3.83203125" style="31" customWidth="1"/>
    <col min="10499" max="10511" width="12.5" style="31" customWidth="1"/>
    <col min="10512" max="10512" width="8.5" style="31" customWidth="1"/>
    <col min="10513" max="10751" width="10.6640625" style="31"/>
    <col min="10752" max="10752" width="13.1640625" style="31" customWidth="1"/>
    <col min="10753" max="10753" width="79" style="31" customWidth="1"/>
    <col min="10754" max="10754" width="3.83203125" style="31" customWidth="1"/>
    <col min="10755" max="10767" width="12.5" style="31" customWidth="1"/>
    <col min="10768" max="10768" width="8.5" style="31" customWidth="1"/>
    <col min="10769" max="11007" width="10.6640625" style="31"/>
    <col min="11008" max="11008" width="13.1640625" style="31" customWidth="1"/>
    <col min="11009" max="11009" width="79" style="31" customWidth="1"/>
    <col min="11010" max="11010" width="3.83203125" style="31" customWidth="1"/>
    <col min="11011" max="11023" width="12.5" style="31" customWidth="1"/>
    <col min="11024" max="11024" width="8.5" style="31" customWidth="1"/>
    <col min="11025" max="11263" width="10.6640625" style="31"/>
    <col min="11264" max="11264" width="13.1640625" style="31" customWidth="1"/>
    <col min="11265" max="11265" width="79" style="31" customWidth="1"/>
    <col min="11266" max="11266" width="3.83203125" style="31" customWidth="1"/>
    <col min="11267" max="11279" width="12.5" style="31" customWidth="1"/>
    <col min="11280" max="11280" width="8.5" style="31" customWidth="1"/>
    <col min="11281" max="11519" width="10.6640625" style="31"/>
    <col min="11520" max="11520" width="13.1640625" style="31" customWidth="1"/>
    <col min="11521" max="11521" width="79" style="31" customWidth="1"/>
    <col min="11522" max="11522" width="3.83203125" style="31" customWidth="1"/>
    <col min="11523" max="11535" width="12.5" style="31" customWidth="1"/>
    <col min="11536" max="11536" width="8.5" style="31" customWidth="1"/>
    <col min="11537" max="11775" width="10.6640625" style="31"/>
    <col min="11776" max="11776" width="13.1640625" style="31" customWidth="1"/>
    <col min="11777" max="11777" width="79" style="31" customWidth="1"/>
    <col min="11778" max="11778" width="3.83203125" style="31" customWidth="1"/>
    <col min="11779" max="11791" width="12.5" style="31" customWidth="1"/>
    <col min="11792" max="11792" width="8.5" style="31" customWidth="1"/>
    <col min="11793" max="12031" width="10.6640625" style="31"/>
    <col min="12032" max="12032" width="13.1640625" style="31" customWidth="1"/>
    <col min="12033" max="12033" width="79" style="31" customWidth="1"/>
    <col min="12034" max="12034" width="3.83203125" style="31" customWidth="1"/>
    <col min="12035" max="12047" width="12.5" style="31" customWidth="1"/>
    <col min="12048" max="12048" width="8.5" style="31" customWidth="1"/>
    <col min="12049" max="12287" width="10.6640625" style="31"/>
    <col min="12288" max="12288" width="13.1640625" style="31" customWidth="1"/>
    <col min="12289" max="12289" width="79" style="31" customWidth="1"/>
    <col min="12290" max="12290" width="3.83203125" style="31" customWidth="1"/>
    <col min="12291" max="12303" width="12.5" style="31" customWidth="1"/>
    <col min="12304" max="12304" width="8.5" style="31" customWidth="1"/>
    <col min="12305" max="12543" width="10.6640625" style="31"/>
    <col min="12544" max="12544" width="13.1640625" style="31" customWidth="1"/>
    <col min="12545" max="12545" width="79" style="31" customWidth="1"/>
    <col min="12546" max="12546" width="3.83203125" style="31" customWidth="1"/>
    <col min="12547" max="12559" width="12.5" style="31" customWidth="1"/>
    <col min="12560" max="12560" width="8.5" style="31" customWidth="1"/>
    <col min="12561" max="12799" width="10.6640625" style="31"/>
    <col min="12800" max="12800" width="13.1640625" style="31" customWidth="1"/>
    <col min="12801" max="12801" width="79" style="31" customWidth="1"/>
    <col min="12802" max="12802" width="3.83203125" style="31" customWidth="1"/>
    <col min="12803" max="12815" width="12.5" style="31" customWidth="1"/>
    <col min="12816" max="12816" width="8.5" style="31" customWidth="1"/>
    <col min="12817" max="13055" width="10.6640625" style="31"/>
    <col min="13056" max="13056" width="13.1640625" style="31" customWidth="1"/>
    <col min="13057" max="13057" width="79" style="31" customWidth="1"/>
    <col min="13058" max="13058" width="3.83203125" style="31" customWidth="1"/>
    <col min="13059" max="13071" width="12.5" style="31" customWidth="1"/>
    <col min="13072" max="13072" width="8.5" style="31" customWidth="1"/>
    <col min="13073" max="13311" width="10.6640625" style="31"/>
    <col min="13312" max="13312" width="13.1640625" style="31" customWidth="1"/>
    <col min="13313" max="13313" width="79" style="31" customWidth="1"/>
    <col min="13314" max="13314" width="3.83203125" style="31" customWidth="1"/>
    <col min="13315" max="13327" width="12.5" style="31" customWidth="1"/>
    <col min="13328" max="13328" width="8.5" style="31" customWidth="1"/>
    <col min="13329" max="13567" width="10.6640625" style="31"/>
    <col min="13568" max="13568" width="13.1640625" style="31" customWidth="1"/>
    <col min="13569" max="13569" width="79" style="31" customWidth="1"/>
    <col min="13570" max="13570" width="3.83203125" style="31" customWidth="1"/>
    <col min="13571" max="13583" width="12.5" style="31" customWidth="1"/>
    <col min="13584" max="13584" width="8.5" style="31" customWidth="1"/>
    <col min="13585" max="13823" width="10.6640625" style="31"/>
    <col min="13824" max="13824" width="13.1640625" style="31" customWidth="1"/>
    <col min="13825" max="13825" width="79" style="31" customWidth="1"/>
    <col min="13826" max="13826" width="3.83203125" style="31" customWidth="1"/>
    <col min="13827" max="13839" width="12.5" style="31" customWidth="1"/>
    <col min="13840" max="13840" width="8.5" style="31" customWidth="1"/>
    <col min="13841" max="14079" width="10.6640625" style="31"/>
    <col min="14080" max="14080" width="13.1640625" style="31" customWidth="1"/>
    <col min="14081" max="14081" width="79" style="31" customWidth="1"/>
    <col min="14082" max="14082" width="3.83203125" style="31" customWidth="1"/>
    <col min="14083" max="14095" width="12.5" style="31" customWidth="1"/>
    <col min="14096" max="14096" width="8.5" style="31" customWidth="1"/>
    <col min="14097" max="14335" width="10.6640625" style="31"/>
    <col min="14336" max="14336" width="13.1640625" style="31" customWidth="1"/>
    <col min="14337" max="14337" width="79" style="31" customWidth="1"/>
    <col min="14338" max="14338" width="3.83203125" style="31" customWidth="1"/>
    <col min="14339" max="14351" width="12.5" style="31" customWidth="1"/>
    <col min="14352" max="14352" width="8.5" style="31" customWidth="1"/>
    <col min="14353" max="14591" width="10.6640625" style="31"/>
    <col min="14592" max="14592" width="13.1640625" style="31" customWidth="1"/>
    <col min="14593" max="14593" width="79" style="31" customWidth="1"/>
    <col min="14594" max="14594" width="3.83203125" style="31" customWidth="1"/>
    <col min="14595" max="14607" width="12.5" style="31" customWidth="1"/>
    <col min="14608" max="14608" width="8.5" style="31" customWidth="1"/>
    <col min="14609" max="14847" width="10.6640625" style="31"/>
    <col min="14848" max="14848" width="13.1640625" style="31" customWidth="1"/>
    <col min="14849" max="14849" width="79" style="31" customWidth="1"/>
    <col min="14850" max="14850" width="3.83203125" style="31" customWidth="1"/>
    <col min="14851" max="14863" width="12.5" style="31" customWidth="1"/>
    <col min="14864" max="14864" width="8.5" style="31" customWidth="1"/>
    <col min="14865" max="15103" width="10.6640625" style="31"/>
    <col min="15104" max="15104" width="13.1640625" style="31" customWidth="1"/>
    <col min="15105" max="15105" width="79" style="31" customWidth="1"/>
    <col min="15106" max="15106" width="3.83203125" style="31" customWidth="1"/>
    <col min="15107" max="15119" width="12.5" style="31" customWidth="1"/>
    <col min="15120" max="15120" width="8.5" style="31" customWidth="1"/>
    <col min="15121" max="15359" width="10.6640625" style="31"/>
    <col min="15360" max="15360" width="13.1640625" style="31" customWidth="1"/>
    <col min="15361" max="15361" width="79" style="31" customWidth="1"/>
    <col min="15362" max="15362" width="3.83203125" style="31" customWidth="1"/>
    <col min="15363" max="15375" width="12.5" style="31" customWidth="1"/>
    <col min="15376" max="15376" width="8.5" style="31" customWidth="1"/>
    <col min="15377" max="15615" width="10.6640625" style="31"/>
    <col min="15616" max="15616" width="13.1640625" style="31" customWidth="1"/>
    <col min="15617" max="15617" width="79" style="31" customWidth="1"/>
    <col min="15618" max="15618" width="3.83203125" style="31" customWidth="1"/>
    <col min="15619" max="15631" width="12.5" style="31" customWidth="1"/>
    <col min="15632" max="15632" width="8.5" style="31" customWidth="1"/>
    <col min="15633" max="15871" width="10.6640625" style="31"/>
    <col min="15872" max="15872" width="13.1640625" style="31" customWidth="1"/>
    <col min="15873" max="15873" width="79" style="31" customWidth="1"/>
    <col min="15874" max="15874" width="3.83203125" style="31" customWidth="1"/>
    <col min="15875" max="15887" width="12.5" style="31" customWidth="1"/>
    <col min="15888" max="15888" width="8.5" style="31" customWidth="1"/>
    <col min="15889" max="16127" width="10.6640625" style="31"/>
    <col min="16128" max="16128" width="13.1640625" style="31" customWidth="1"/>
    <col min="16129" max="16129" width="79" style="31" customWidth="1"/>
    <col min="16130" max="16130" width="3.83203125" style="31" customWidth="1"/>
    <col min="16131" max="16143" width="12.5" style="31" customWidth="1"/>
    <col min="16144" max="16144" width="8.5" style="31" customWidth="1"/>
    <col min="16145" max="16384" width="10.6640625" style="31"/>
  </cols>
  <sheetData>
    <row r="1" spans="1:19" ht="13.5" thickBot="1" x14ac:dyDescent="0.25">
      <c r="A1" s="40" t="s">
        <v>80</v>
      </c>
      <c r="B1" s="41">
        <v>3</v>
      </c>
      <c r="C1" s="42"/>
      <c r="D1" s="43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</row>
    <row r="2" spans="1:19" ht="13.5" thickTop="1" x14ac:dyDescent="0.2">
      <c r="A2" s="45" t="str">
        <f>CONCATENATE($B$1,"|",B2)</f>
        <v>3|1</v>
      </c>
      <c r="B2" s="46">
        <v>1</v>
      </c>
      <c r="C2" s="47" t="s">
        <v>477</v>
      </c>
      <c r="D2" s="48">
        <v>1</v>
      </c>
      <c r="E2" s="49">
        <v>50</v>
      </c>
      <c r="F2" s="49">
        <v>50</v>
      </c>
      <c r="G2" s="49"/>
      <c r="H2" s="49"/>
      <c r="I2" s="49"/>
      <c r="J2" s="50"/>
      <c r="K2" s="50"/>
      <c r="L2" s="50"/>
      <c r="M2" s="50"/>
      <c r="N2" s="50"/>
      <c r="O2" s="50"/>
      <c r="P2" s="50"/>
      <c r="S2" s="31">
        <f>SUM(E2:P2)</f>
        <v>100</v>
      </c>
    </row>
    <row r="3" spans="1:19" x14ac:dyDescent="0.2">
      <c r="A3" s="51" t="str">
        <f t="shared" ref="A3:A12" si="0">CONCATENATE($B$1,"|",B3)</f>
        <v>3|2</v>
      </c>
      <c r="B3" s="52" t="s">
        <v>190</v>
      </c>
      <c r="C3" s="47" t="s">
        <v>473</v>
      </c>
      <c r="D3" s="48">
        <v>2</v>
      </c>
      <c r="E3" s="49">
        <v>50</v>
      </c>
      <c r="F3" s="49">
        <v>50</v>
      </c>
      <c r="G3" s="49"/>
      <c r="H3" s="49"/>
      <c r="I3" s="49"/>
      <c r="J3" s="53"/>
      <c r="K3" s="53"/>
      <c r="L3" s="53"/>
      <c r="M3" s="53"/>
      <c r="N3" s="53"/>
      <c r="O3" s="53"/>
      <c r="P3" s="53"/>
      <c r="S3" s="31">
        <f t="shared" ref="S3:S12" si="1">SUM(E3:P3)</f>
        <v>100</v>
      </c>
    </row>
    <row r="4" spans="1:19" x14ac:dyDescent="0.2">
      <c r="A4" s="51" t="str">
        <f t="shared" si="0"/>
        <v>3|3</v>
      </c>
      <c r="B4" s="52" t="s">
        <v>208</v>
      </c>
      <c r="C4" s="47" t="s">
        <v>479</v>
      </c>
      <c r="D4" s="48">
        <v>3</v>
      </c>
      <c r="E4" s="54">
        <v>25</v>
      </c>
      <c r="F4" s="54">
        <v>60</v>
      </c>
      <c r="G4" s="54">
        <v>15</v>
      </c>
      <c r="H4" s="54"/>
      <c r="I4" s="54"/>
      <c r="J4" s="53"/>
      <c r="K4" s="53"/>
      <c r="L4" s="53"/>
      <c r="M4" s="53"/>
      <c r="N4" s="53"/>
      <c r="O4" s="53"/>
      <c r="P4" s="53"/>
      <c r="S4" s="31">
        <f t="shared" si="1"/>
        <v>100</v>
      </c>
    </row>
    <row r="5" spans="1:19" x14ac:dyDescent="0.2">
      <c r="A5" s="51" t="str">
        <f t="shared" si="0"/>
        <v>3|4</v>
      </c>
      <c r="B5" s="52" t="s">
        <v>226</v>
      </c>
      <c r="C5" s="47" t="s">
        <v>474</v>
      </c>
      <c r="D5" s="48">
        <v>4</v>
      </c>
      <c r="E5" s="54"/>
      <c r="F5" s="54">
        <v>50</v>
      </c>
      <c r="G5" s="54">
        <v>50</v>
      </c>
      <c r="H5" s="54"/>
      <c r="I5" s="54"/>
      <c r="J5" s="53"/>
      <c r="K5" s="53"/>
      <c r="L5" s="53"/>
      <c r="M5" s="53"/>
      <c r="N5" s="53"/>
      <c r="O5" s="53"/>
      <c r="P5" s="53"/>
      <c r="S5" s="31">
        <f t="shared" si="1"/>
        <v>100</v>
      </c>
    </row>
    <row r="6" spans="1:19" x14ac:dyDescent="0.2">
      <c r="A6" s="51" t="str">
        <f t="shared" si="0"/>
        <v>3|5</v>
      </c>
      <c r="B6" s="52" t="s">
        <v>189</v>
      </c>
      <c r="C6" s="47" t="s">
        <v>475</v>
      </c>
      <c r="D6" s="48">
        <v>5</v>
      </c>
      <c r="E6" s="54">
        <v>20</v>
      </c>
      <c r="F6" s="54">
        <v>50</v>
      </c>
      <c r="G6" s="54">
        <v>30</v>
      </c>
      <c r="H6" s="54"/>
      <c r="I6" s="54"/>
      <c r="J6" s="53"/>
      <c r="K6" s="53"/>
      <c r="L6" s="53"/>
      <c r="M6" s="53"/>
      <c r="N6" s="53"/>
      <c r="O6" s="53"/>
      <c r="P6" s="53"/>
      <c r="S6" s="31">
        <f t="shared" si="1"/>
        <v>100</v>
      </c>
    </row>
    <row r="7" spans="1:19" x14ac:dyDescent="0.2">
      <c r="A7" s="51" t="str">
        <f t="shared" si="0"/>
        <v>3|6</v>
      </c>
      <c r="B7" s="52" t="s">
        <v>228</v>
      </c>
      <c r="C7" s="47" t="s">
        <v>481</v>
      </c>
      <c r="D7" s="48">
        <v>3</v>
      </c>
      <c r="E7" s="54"/>
      <c r="F7" s="54">
        <v>50</v>
      </c>
      <c r="G7" s="54">
        <v>50</v>
      </c>
      <c r="H7" s="54"/>
      <c r="I7" s="54"/>
      <c r="J7" s="53"/>
      <c r="K7" s="53"/>
      <c r="L7" s="53"/>
      <c r="M7" s="53"/>
      <c r="N7" s="53"/>
      <c r="O7" s="53"/>
      <c r="P7" s="53"/>
      <c r="S7" s="31">
        <f t="shared" si="1"/>
        <v>100</v>
      </c>
    </row>
    <row r="8" spans="1:19" x14ac:dyDescent="0.2">
      <c r="A8" s="51" t="str">
        <f t="shared" si="0"/>
        <v>3|7</v>
      </c>
      <c r="B8" s="52" t="s">
        <v>456</v>
      </c>
      <c r="C8" s="47" t="s">
        <v>482</v>
      </c>
      <c r="D8" s="48">
        <v>5</v>
      </c>
      <c r="E8" s="54"/>
      <c r="F8" s="54">
        <v>20</v>
      </c>
      <c r="G8" s="54">
        <v>80</v>
      </c>
      <c r="H8" s="54"/>
      <c r="I8" s="54"/>
      <c r="J8" s="53"/>
      <c r="K8" s="53"/>
      <c r="L8" s="53"/>
      <c r="M8" s="53"/>
      <c r="N8" s="53"/>
      <c r="O8" s="53"/>
      <c r="P8" s="53"/>
      <c r="S8" s="31">
        <f t="shared" si="1"/>
        <v>100</v>
      </c>
    </row>
    <row r="9" spans="1:19" x14ac:dyDescent="0.2">
      <c r="A9" s="51" t="str">
        <f t="shared" si="0"/>
        <v>3|8</v>
      </c>
      <c r="B9" s="52" t="s">
        <v>323</v>
      </c>
      <c r="C9" s="47" t="s">
        <v>484</v>
      </c>
      <c r="D9" s="48">
        <v>6</v>
      </c>
      <c r="E9" s="54"/>
      <c r="F9" s="54">
        <v>50</v>
      </c>
      <c r="G9" s="54">
        <v>50</v>
      </c>
      <c r="H9" s="54"/>
      <c r="I9" s="54"/>
      <c r="J9" s="53"/>
      <c r="K9" s="53"/>
      <c r="L9" s="53"/>
      <c r="M9" s="53"/>
      <c r="N9" s="53"/>
      <c r="O9" s="53"/>
      <c r="P9" s="53"/>
      <c r="S9" s="31">
        <f t="shared" si="1"/>
        <v>100</v>
      </c>
    </row>
    <row r="10" spans="1:19" x14ac:dyDescent="0.2">
      <c r="A10" s="51" t="str">
        <f t="shared" si="0"/>
        <v>3|9</v>
      </c>
      <c r="B10" s="52" t="s">
        <v>485</v>
      </c>
      <c r="C10" s="47" t="s">
        <v>486</v>
      </c>
      <c r="D10" s="48">
        <v>6</v>
      </c>
      <c r="E10" s="54">
        <v>30</v>
      </c>
      <c r="F10" s="54">
        <v>40</v>
      </c>
      <c r="G10" s="54">
        <v>30</v>
      </c>
      <c r="H10" s="54"/>
      <c r="I10" s="54"/>
      <c r="J10" s="53"/>
      <c r="K10" s="53"/>
      <c r="L10" s="53"/>
      <c r="M10" s="53"/>
      <c r="N10" s="53"/>
      <c r="O10" s="53"/>
      <c r="P10" s="53"/>
      <c r="S10" s="31">
        <f t="shared" si="1"/>
        <v>100</v>
      </c>
    </row>
    <row r="11" spans="1:19" x14ac:dyDescent="0.2">
      <c r="A11" s="51" t="str">
        <f t="shared" si="0"/>
        <v>3|10</v>
      </c>
      <c r="B11" s="52" t="s">
        <v>487</v>
      </c>
      <c r="C11" s="47" t="s">
        <v>476</v>
      </c>
      <c r="D11" s="48"/>
      <c r="E11" s="54">
        <v>60</v>
      </c>
      <c r="F11" s="54">
        <v>40</v>
      </c>
      <c r="G11" s="54"/>
      <c r="H11" s="54"/>
      <c r="I11" s="54"/>
      <c r="J11" s="53"/>
      <c r="K11" s="53"/>
      <c r="L11" s="53"/>
      <c r="M11" s="53"/>
      <c r="N11" s="53"/>
      <c r="O11" s="53"/>
      <c r="P11" s="53"/>
      <c r="S11" s="31">
        <f t="shared" si="1"/>
        <v>100</v>
      </c>
    </row>
    <row r="12" spans="1:19" x14ac:dyDescent="0.2">
      <c r="A12" s="51" t="str">
        <f t="shared" si="0"/>
        <v>3|11</v>
      </c>
      <c r="B12" s="52" t="s">
        <v>736</v>
      </c>
      <c r="C12" s="47" t="s">
        <v>772</v>
      </c>
      <c r="D12" s="48"/>
      <c r="E12" s="54">
        <v>15</v>
      </c>
      <c r="F12" s="54">
        <v>60</v>
      </c>
      <c r="G12" s="54">
        <v>25</v>
      </c>
      <c r="H12" s="54"/>
      <c r="I12" s="54"/>
      <c r="J12" s="53"/>
      <c r="K12" s="53"/>
      <c r="L12" s="53"/>
      <c r="M12" s="53"/>
      <c r="N12" s="53"/>
      <c r="O12" s="53"/>
      <c r="P12" s="53"/>
      <c r="S12" s="31">
        <f t="shared" si="1"/>
        <v>100</v>
      </c>
    </row>
    <row r="13" spans="1:19" ht="5.45" customHeight="1" x14ac:dyDescent="0.2"/>
    <row r="14" spans="1:19" ht="13.5" thickBot="1" x14ac:dyDescent="0.25">
      <c r="A14" s="55" t="s">
        <v>80</v>
      </c>
      <c r="B14" s="56">
        <v>4</v>
      </c>
      <c r="C14" s="57"/>
      <c r="D14" s="58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</row>
    <row r="15" spans="1:19" ht="13.5" thickTop="1" x14ac:dyDescent="0.2">
      <c r="A15" s="59" t="str">
        <f>CONCATENATE($B$14,"|",B15)</f>
        <v>4|1</v>
      </c>
      <c r="B15" s="46">
        <v>1</v>
      </c>
      <c r="C15" s="47" t="s">
        <v>477</v>
      </c>
      <c r="D15" s="48">
        <v>1</v>
      </c>
      <c r="E15" s="49">
        <v>45</v>
      </c>
      <c r="F15" s="49">
        <v>45</v>
      </c>
      <c r="G15" s="49">
        <v>10</v>
      </c>
      <c r="H15" s="49"/>
      <c r="I15" s="49"/>
      <c r="J15" s="50"/>
      <c r="K15" s="50"/>
      <c r="L15" s="50"/>
      <c r="M15" s="50"/>
      <c r="N15" s="50"/>
      <c r="O15" s="50"/>
      <c r="P15" s="50"/>
      <c r="S15" s="31">
        <f>SUM(E15:P15)</f>
        <v>100</v>
      </c>
    </row>
    <row r="16" spans="1:19" x14ac:dyDescent="0.2">
      <c r="A16" s="51" t="str">
        <f t="shared" ref="A16:A25" si="2">CONCATENATE($B$14,"|",B16)</f>
        <v>4|2</v>
      </c>
      <c r="B16" s="52" t="s">
        <v>190</v>
      </c>
      <c r="C16" s="47" t="s">
        <v>473</v>
      </c>
      <c r="D16" s="48">
        <v>2</v>
      </c>
      <c r="E16" s="49">
        <v>40</v>
      </c>
      <c r="F16" s="49">
        <v>40</v>
      </c>
      <c r="G16" s="49">
        <v>20</v>
      </c>
      <c r="H16" s="49"/>
      <c r="I16" s="49"/>
      <c r="J16" s="53"/>
      <c r="K16" s="53"/>
      <c r="L16" s="53"/>
      <c r="M16" s="53"/>
      <c r="N16" s="53"/>
      <c r="O16" s="53"/>
      <c r="P16" s="53"/>
      <c r="S16" s="31">
        <f t="shared" ref="S16:S25" si="3">SUM(E16:P16)</f>
        <v>100</v>
      </c>
    </row>
    <row r="17" spans="1:19" x14ac:dyDescent="0.2">
      <c r="A17" s="51" t="str">
        <f t="shared" si="2"/>
        <v>4|3</v>
      </c>
      <c r="B17" s="52" t="s">
        <v>208</v>
      </c>
      <c r="C17" s="47" t="s">
        <v>479</v>
      </c>
      <c r="D17" s="48">
        <v>3</v>
      </c>
      <c r="E17" s="54">
        <v>20</v>
      </c>
      <c r="F17" s="54">
        <v>35</v>
      </c>
      <c r="G17" s="54">
        <v>35</v>
      </c>
      <c r="H17" s="54">
        <v>10</v>
      </c>
      <c r="I17" s="54"/>
      <c r="J17" s="53"/>
      <c r="K17" s="53"/>
      <c r="L17" s="53"/>
      <c r="M17" s="53"/>
      <c r="N17" s="53"/>
      <c r="O17" s="53"/>
      <c r="P17" s="53"/>
      <c r="S17" s="31">
        <f t="shared" si="3"/>
        <v>100</v>
      </c>
    </row>
    <row r="18" spans="1:19" x14ac:dyDescent="0.2">
      <c r="A18" s="51" t="str">
        <f t="shared" si="2"/>
        <v>4|4</v>
      </c>
      <c r="B18" s="52" t="s">
        <v>226</v>
      </c>
      <c r="C18" s="47" t="s">
        <v>474</v>
      </c>
      <c r="D18" s="48">
        <v>4</v>
      </c>
      <c r="E18" s="54"/>
      <c r="F18" s="54">
        <v>35</v>
      </c>
      <c r="G18" s="54">
        <v>35</v>
      </c>
      <c r="H18" s="54">
        <v>30</v>
      </c>
      <c r="I18" s="54"/>
      <c r="J18" s="53"/>
      <c r="K18" s="53"/>
      <c r="L18" s="53"/>
      <c r="M18" s="53"/>
      <c r="N18" s="53"/>
      <c r="O18" s="53"/>
      <c r="P18" s="53"/>
      <c r="S18" s="31">
        <f t="shared" si="3"/>
        <v>100</v>
      </c>
    </row>
    <row r="19" spans="1:19" x14ac:dyDescent="0.2">
      <c r="A19" s="51" t="str">
        <f t="shared" si="2"/>
        <v>4|5</v>
      </c>
      <c r="B19" s="52" t="s">
        <v>189</v>
      </c>
      <c r="C19" s="47" t="s">
        <v>475</v>
      </c>
      <c r="D19" s="48">
        <v>5</v>
      </c>
      <c r="E19" s="54">
        <v>10</v>
      </c>
      <c r="F19" s="54">
        <v>35</v>
      </c>
      <c r="G19" s="54">
        <v>35</v>
      </c>
      <c r="H19" s="54">
        <v>20</v>
      </c>
      <c r="I19" s="54"/>
      <c r="J19" s="53"/>
      <c r="K19" s="53"/>
      <c r="L19" s="53"/>
      <c r="M19" s="53"/>
      <c r="N19" s="53"/>
      <c r="O19" s="53"/>
      <c r="P19" s="53"/>
      <c r="S19" s="31">
        <f t="shared" si="3"/>
        <v>100</v>
      </c>
    </row>
    <row r="20" spans="1:19" x14ac:dyDescent="0.2">
      <c r="A20" s="51" t="str">
        <f t="shared" si="2"/>
        <v>4|6</v>
      </c>
      <c r="B20" s="52" t="s">
        <v>228</v>
      </c>
      <c r="C20" s="47" t="s">
        <v>481</v>
      </c>
      <c r="D20" s="48">
        <v>3</v>
      </c>
      <c r="E20" s="54"/>
      <c r="F20" s="54">
        <v>35</v>
      </c>
      <c r="G20" s="54">
        <v>35</v>
      </c>
      <c r="H20" s="54">
        <v>30</v>
      </c>
      <c r="I20" s="54"/>
      <c r="J20" s="53"/>
      <c r="K20" s="53"/>
      <c r="L20" s="53"/>
      <c r="M20" s="53"/>
      <c r="N20" s="53"/>
      <c r="O20" s="53"/>
      <c r="P20" s="53"/>
      <c r="S20" s="31">
        <f t="shared" si="3"/>
        <v>100</v>
      </c>
    </row>
    <row r="21" spans="1:19" x14ac:dyDescent="0.2">
      <c r="A21" s="51" t="str">
        <f t="shared" si="2"/>
        <v>4|7</v>
      </c>
      <c r="B21" s="52" t="s">
        <v>456</v>
      </c>
      <c r="C21" s="47" t="s">
        <v>482</v>
      </c>
      <c r="D21" s="48">
        <v>5</v>
      </c>
      <c r="E21" s="54"/>
      <c r="F21" s="54">
        <v>15</v>
      </c>
      <c r="G21" s="54">
        <v>60</v>
      </c>
      <c r="H21" s="54">
        <v>25</v>
      </c>
      <c r="I21" s="54"/>
      <c r="J21" s="53"/>
      <c r="K21" s="53"/>
      <c r="L21" s="53"/>
      <c r="M21" s="53"/>
      <c r="N21" s="53"/>
      <c r="O21" s="53"/>
      <c r="P21" s="53"/>
      <c r="S21" s="31">
        <f t="shared" si="3"/>
        <v>100</v>
      </c>
    </row>
    <row r="22" spans="1:19" x14ac:dyDescent="0.2">
      <c r="A22" s="51" t="str">
        <f t="shared" si="2"/>
        <v>4|8</v>
      </c>
      <c r="B22" s="52" t="s">
        <v>323</v>
      </c>
      <c r="C22" s="47" t="s">
        <v>484</v>
      </c>
      <c r="D22" s="48">
        <v>6</v>
      </c>
      <c r="E22" s="54"/>
      <c r="F22" s="54">
        <v>30</v>
      </c>
      <c r="G22" s="54">
        <v>40</v>
      </c>
      <c r="H22" s="54">
        <v>30</v>
      </c>
      <c r="I22" s="54"/>
      <c r="J22" s="53"/>
      <c r="K22" s="53"/>
      <c r="L22" s="53"/>
      <c r="M22" s="53"/>
      <c r="N22" s="53"/>
      <c r="O22" s="53"/>
      <c r="P22" s="53"/>
      <c r="S22" s="31">
        <f t="shared" si="3"/>
        <v>100</v>
      </c>
    </row>
    <row r="23" spans="1:19" x14ac:dyDescent="0.2">
      <c r="A23" s="51" t="str">
        <f t="shared" si="2"/>
        <v>4|9</v>
      </c>
      <c r="B23" s="52" t="s">
        <v>485</v>
      </c>
      <c r="C23" s="47" t="s">
        <v>486</v>
      </c>
      <c r="D23" s="48">
        <v>6</v>
      </c>
      <c r="E23" s="54">
        <v>10</v>
      </c>
      <c r="F23" s="54">
        <v>35</v>
      </c>
      <c r="G23" s="54">
        <v>35</v>
      </c>
      <c r="H23" s="54">
        <v>20</v>
      </c>
      <c r="I23" s="54"/>
      <c r="J23" s="53"/>
      <c r="K23" s="53"/>
      <c r="L23" s="53"/>
      <c r="M23" s="53"/>
      <c r="N23" s="53"/>
      <c r="O23" s="53"/>
      <c r="P23" s="53"/>
      <c r="S23" s="31">
        <f t="shared" si="3"/>
        <v>100</v>
      </c>
    </row>
    <row r="24" spans="1:19" x14ac:dyDescent="0.2">
      <c r="A24" s="51" t="str">
        <f t="shared" si="2"/>
        <v>4|10</v>
      </c>
      <c r="B24" s="52" t="s">
        <v>487</v>
      </c>
      <c r="C24" s="47" t="s">
        <v>476</v>
      </c>
      <c r="D24" s="48"/>
      <c r="E24" s="54">
        <v>40</v>
      </c>
      <c r="F24" s="54">
        <v>40</v>
      </c>
      <c r="G24" s="54">
        <v>20</v>
      </c>
      <c r="H24" s="54"/>
      <c r="I24" s="54"/>
      <c r="J24" s="53"/>
      <c r="K24" s="53"/>
      <c r="L24" s="53"/>
      <c r="M24" s="53"/>
      <c r="N24" s="53"/>
      <c r="O24" s="53"/>
      <c r="P24" s="53"/>
      <c r="S24" s="31">
        <f t="shared" si="3"/>
        <v>100</v>
      </c>
    </row>
    <row r="25" spans="1:19" x14ac:dyDescent="0.2">
      <c r="A25" s="60" t="str">
        <f t="shared" si="2"/>
        <v>4|11</v>
      </c>
      <c r="B25" s="52" t="s">
        <v>736</v>
      </c>
      <c r="C25" s="47" t="s">
        <v>772</v>
      </c>
      <c r="D25" s="48"/>
      <c r="E25" s="54">
        <v>10</v>
      </c>
      <c r="F25" s="54">
        <v>35</v>
      </c>
      <c r="G25" s="54">
        <v>35</v>
      </c>
      <c r="H25" s="54">
        <v>20</v>
      </c>
      <c r="I25" s="54"/>
      <c r="J25" s="53"/>
      <c r="K25" s="53"/>
      <c r="L25" s="53"/>
      <c r="M25" s="53"/>
      <c r="N25" s="53"/>
      <c r="O25" s="53"/>
      <c r="P25" s="53"/>
      <c r="S25" s="31">
        <f t="shared" si="3"/>
        <v>100</v>
      </c>
    </row>
    <row r="26" spans="1:19" ht="5.45" customHeight="1" x14ac:dyDescent="0.2"/>
    <row r="27" spans="1:19" ht="13.5" thickBot="1" x14ac:dyDescent="0.25">
      <c r="A27" s="55" t="s">
        <v>80</v>
      </c>
      <c r="B27" s="56">
        <v>5</v>
      </c>
      <c r="C27" s="57"/>
      <c r="D27" s="58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</row>
    <row r="28" spans="1:19" ht="13.5" thickTop="1" x14ac:dyDescent="0.2">
      <c r="A28" s="59" t="str">
        <f>CONCATENATE($B$27,"|",B28)</f>
        <v>5|1</v>
      </c>
      <c r="B28" s="46">
        <v>1</v>
      </c>
      <c r="C28" s="47" t="s">
        <v>477</v>
      </c>
      <c r="D28" s="48">
        <v>1</v>
      </c>
      <c r="E28" s="49">
        <v>40</v>
      </c>
      <c r="F28" s="49">
        <v>30</v>
      </c>
      <c r="G28" s="49">
        <v>25</v>
      </c>
      <c r="H28" s="49">
        <v>5</v>
      </c>
      <c r="I28" s="49"/>
      <c r="J28" s="50"/>
      <c r="K28" s="50"/>
      <c r="L28" s="50"/>
      <c r="M28" s="50"/>
      <c r="N28" s="50"/>
      <c r="O28" s="50"/>
      <c r="P28" s="50"/>
      <c r="S28" s="31">
        <f>SUM(E28:P28)</f>
        <v>100</v>
      </c>
    </row>
    <row r="29" spans="1:19" x14ac:dyDescent="0.2">
      <c r="A29" s="51" t="str">
        <f t="shared" ref="A29:A38" si="4">CONCATENATE($B$27,"|",B29)</f>
        <v>5|2</v>
      </c>
      <c r="B29" s="52" t="s">
        <v>190</v>
      </c>
      <c r="C29" s="47" t="s">
        <v>473</v>
      </c>
      <c r="D29" s="48">
        <v>2</v>
      </c>
      <c r="E29" s="49">
        <v>30</v>
      </c>
      <c r="F29" s="49">
        <v>30</v>
      </c>
      <c r="G29" s="49">
        <v>30</v>
      </c>
      <c r="H29" s="49">
        <v>10</v>
      </c>
      <c r="I29" s="49"/>
      <c r="J29" s="53"/>
      <c r="K29" s="53"/>
      <c r="L29" s="53"/>
      <c r="M29" s="53"/>
      <c r="N29" s="53"/>
      <c r="O29" s="53"/>
      <c r="P29" s="53"/>
      <c r="S29" s="31">
        <f t="shared" ref="S29:S38" si="5">SUM(E29:P29)</f>
        <v>100</v>
      </c>
    </row>
    <row r="30" spans="1:19" x14ac:dyDescent="0.2">
      <c r="A30" s="51" t="str">
        <f t="shared" si="4"/>
        <v>5|3</v>
      </c>
      <c r="B30" s="52" t="s">
        <v>208</v>
      </c>
      <c r="C30" s="47" t="s">
        <v>479</v>
      </c>
      <c r="D30" s="48">
        <v>3</v>
      </c>
      <c r="E30" s="54">
        <v>10</v>
      </c>
      <c r="F30" s="54">
        <v>30</v>
      </c>
      <c r="G30" s="54">
        <v>30</v>
      </c>
      <c r="H30" s="54">
        <v>25</v>
      </c>
      <c r="I30" s="54">
        <v>5</v>
      </c>
      <c r="J30" s="53"/>
      <c r="K30" s="53"/>
      <c r="L30" s="53"/>
      <c r="M30" s="53"/>
      <c r="N30" s="53"/>
      <c r="O30" s="53"/>
      <c r="P30" s="53"/>
      <c r="S30" s="31">
        <f t="shared" si="5"/>
        <v>100</v>
      </c>
    </row>
    <row r="31" spans="1:19" x14ac:dyDescent="0.2">
      <c r="A31" s="51" t="str">
        <f t="shared" si="4"/>
        <v>5|4</v>
      </c>
      <c r="B31" s="52" t="s">
        <v>226</v>
      </c>
      <c r="C31" s="47" t="s">
        <v>474</v>
      </c>
      <c r="D31" s="48">
        <v>4</v>
      </c>
      <c r="E31" s="54"/>
      <c r="F31" s="54">
        <v>15</v>
      </c>
      <c r="G31" s="54">
        <v>30</v>
      </c>
      <c r="H31" s="54">
        <v>30</v>
      </c>
      <c r="I31" s="54">
        <v>25</v>
      </c>
      <c r="J31" s="53"/>
      <c r="K31" s="53"/>
      <c r="L31" s="53"/>
      <c r="M31" s="53"/>
      <c r="N31" s="53"/>
      <c r="O31" s="53"/>
      <c r="P31" s="53"/>
      <c r="S31" s="31">
        <f t="shared" si="5"/>
        <v>100</v>
      </c>
    </row>
    <row r="32" spans="1:19" x14ac:dyDescent="0.2">
      <c r="A32" s="51" t="str">
        <f t="shared" si="4"/>
        <v>5|5</v>
      </c>
      <c r="B32" s="52" t="s">
        <v>189</v>
      </c>
      <c r="C32" s="47" t="s">
        <v>475</v>
      </c>
      <c r="D32" s="48">
        <v>5</v>
      </c>
      <c r="E32" s="54"/>
      <c r="F32" s="54">
        <v>25</v>
      </c>
      <c r="G32" s="54">
        <v>35</v>
      </c>
      <c r="H32" s="54">
        <v>35</v>
      </c>
      <c r="I32" s="54">
        <v>5</v>
      </c>
      <c r="J32" s="53"/>
      <c r="K32" s="53"/>
      <c r="L32" s="53"/>
      <c r="M32" s="53"/>
      <c r="N32" s="53"/>
      <c r="O32" s="53"/>
      <c r="P32" s="53"/>
      <c r="S32" s="31">
        <f t="shared" si="5"/>
        <v>100</v>
      </c>
    </row>
    <row r="33" spans="1:19" x14ac:dyDescent="0.2">
      <c r="A33" s="51" t="str">
        <f t="shared" si="4"/>
        <v>5|6</v>
      </c>
      <c r="B33" s="52" t="s">
        <v>228</v>
      </c>
      <c r="C33" s="47" t="s">
        <v>481</v>
      </c>
      <c r="D33" s="48">
        <v>3</v>
      </c>
      <c r="E33" s="54"/>
      <c r="F33" s="54">
        <v>5</v>
      </c>
      <c r="G33" s="54">
        <v>40</v>
      </c>
      <c r="H33" s="54">
        <v>30</v>
      </c>
      <c r="I33" s="54">
        <v>25</v>
      </c>
      <c r="J33" s="53"/>
      <c r="K33" s="53"/>
      <c r="L33" s="53"/>
      <c r="M33" s="53"/>
      <c r="N33" s="53"/>
      <c r="O33" s="53"/>
      <c r="P33" s="53"/>
      <c r="S33" s="31">
        <f t="shared" si="5"/>
        <v>100</v>
      </c>
    </row>
    <row r="34" spans="1:19" x14ac:dyDescent="0.2">
      <c r="A34" s="51" t="str">
        <f t="shared" si="4"/>
        <v>5|7</v>
      </c>
      <c r="B34" s="52" t="s">
        <v>456</v>
      </c>
      <c r="C34" s="47" t="s">
        <v>482</v>
      </c>
      <c r="D34" s="48">
        <v>5</v>
      </c>
      <c r="E34" s="54"/>
      <c r="F34" s="54">
        <v>10</v>
      </c>
      <c r="G34" s="54">
        <v>35</v>
      </c>
      <c r="H34" s="54">
        <v>35</v>
      </c>
      <c r="I34" s="54">
        <v>20</v>
      </c>
      <c r="J34" s="53"/>
      <c r="K34" s="53"/>
      <c r="L34" s="53"/>
      <c r="M34" s="53"/>
      <c r="N34" s="53"/>
      <c r="O34" s="53"/>
      <c r="P34" s="53"/>
      <c r="S34" s="31">
        <f t="shared" si="5"/>
        <v>100</v>
      </c>
    </row>
    <row r="35" spans="1:19" x14ac:dyDescent="0.2">
      <c r="A35" s="51" t="str">
        <f t="shared" si="4"/>
        <v>5|8</v>
      </c>
      <c r="B35" s="52" t="s">
        <v>323</v>
      </c>
      <c r="C35" s="47" t="s">
        <v>484</v>
      </c>
      <c r="D35" s="48">
        <v>6</v>
      </c>
      <c r="E35" s="54"/>
      <c r="F35" s="54">
        <v>10</v>
      </c>
      <c r="G35" s="54">
        <v>35</v>
      </c>
      <c r="H35" s="54">
        <v>35</v>
      </c>
      <c r="I35" s="54">
        <v>20</v>
      </c>
      <c r="J35" s="53"/>
      <c r="K35" s="53"/>
      <c r="L35" s="53"/>
      <c r="M35" s="53"/>
      <c r="N35" s="53"/>
      <c r="O35" s="53"/>
      <c r="P35" s="53"/>
      <c r="S35" s="31">
        <f t="shared" si="5"/>
        <v>100</v>
      </c>
    </row>
    <row r="36" spans="1:19" x14ac:dyDescent="0.2">
      <c r="A36" s="51" t="str">
        <f t="shared" si="4"/>
        <v>5|9</v>
      </c>
      <c r="B36" s="52" t="s">
        <v>485</v>
      </c>
      <c r="C36" s="47" t="s">
        <v>486</v>
      </c>
      <c r="D36" s="48">
        <v>6</v>
      </c>
      <c r="E36" s="54">
        <v>5</v>
      </c>
      <c r="F36" s="54">
        <v>25</v>
      </c>
      <c r="G36" s="54">
        <v>25</v>
      </c>
      <c r="H36" s="54">
        <v>25</v>
      </c>
      <c r="I36" s="54">
        <v>20</v>
      </c>
      <c r="J36" s="53"/>
      <c r="K36" s="53"/>
      <c r="L36" s="53"/>
      <c r="M36" s="53"/>
      <c r="N36" s="53"/>
      <c r="O36" s="53"/>
      <c r="P36" s="53"/>
      <c r="S36" s="31">
        <f t="shared" si="5"/>
        <v>100</v>
      </c>
    </row>
    <row r="37" spans="1:19" x14ac:dyDescent="0.2">
      <c r="A37" s="51" t="str">
        <f t="shared" si="4"/>
        <v>5|10</v>
      </c>
      <c r="B37" s="52" t="s">
        <v>487</v>
      </c>
      <c r="C37" s="47" t="s">
        <v>476</v>
      </c>
      <c r="D37" s="48"/>
      <c r="E37" s="54">
        <v>25</v>
      </c>
      <c r="F37" s="54">
        <v>30</v>
      </c>
      <c r="G37" s="54">
        <v>30</v>
      </c>
      <c r="H37" s="54">
        <v>15</v>
      </c>
      <c r="I37" s="54"/>
      <c r="J37" s="53"/>
      <c r="K37" s="53"/>
      <c r="L37" s="53"/>
      <c r="M37" s="53"/>
      <c r="N37" s="53"/>
      <c r="O37" s="53"/>
      <c r="P37" s="53"/>
      <c r="S37" s="31">
        <f t="shared" si="5"/>
        <v>100</v>
      </c>
    </row>
    <row r="38" spans="1:19" x14ac:dyDescent="0.2">
      <c r="A38" s="51" t="str">
        <f t="shared" si="4"/>
        <v>5|11</v>
      </c>
      <c r="B38" s="52" t="s">
        <v>736</v>
      </c>
      <c r="C38" s="47" t="s">
        <v>772</v>
      </c>
      <c r="D38" s="48"/>
      <c r="E38" s="54">
        <v>7</v>
      </c>
      <c r="F38" s="54">
        <v>21</v>
      </c>
      <c r="G38" s="54">
        <v>27</v>
      </c>
      <c r="H38" s="54">
        <v>28</v>
      </c>
      <c r="I38" s="54">
        <v>17</v>
      </c>
      <c r="J38" s="53"/>
      <c r="K38" s="53"/>
      <c r="L38" s="53"/>
      <c r="M38" s="53"/>
      <c r="N38" s="53"/>
      <c r="O38" s="53"/>
      <c r="P38" s="53"/>
      <c r="S38" s="31">
        <f t="shared" si="5"/>
        <v>100</v>
      </c>
    </row>
    <row r="39" spans="1:19" ht="5.45" customHeight="1" x14ac:dyDescent="0.2"/>
    <row r="40" spans="1:19" ht="13.5" thickBot="1" x14ac:dyDescent="0.25">
      <c r="A40" s="55" t="s">
        <v>80</v>
      </c>
      <c r="B40" s="56">
        <v>6</v>
      </c>
      <c r="C40" s="57"/>
      <c r="D40" s="58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</row>
    <row r="41" spans="1:19" ht="13.5" thickTop="1" x14ac:dyDescent="0.2">
      <c r="A41" s="59" t="str">
        <f>CONCATENATE($B$40,"|",B41)</f>
        <v>6|1</v>
      </c>
      <c r="B41" s="46">
        <v>1</v>
      </c>
      <c r="C41" s="47" t="s">
        <v>477</v>
      </c>
      <c r="D41" s="48">
        <v>1</v>
      </c>
      <c r="E41" s="49">
        <v>20</v>
      </c>
      <c r="F41" s="49">
        <v>30</v>
      </c>
      <c r="G41" s="49">
        <v>30</v>
      </c>
      <c r="H41" s="49">
        <v>20</v>
      </c>
      <c r="I41" s="49"/>
      <c r="J41" s="50"/>
      <c r="K41" s="50"/>
      <c r="L41" s="50"/>
      <c r="M41" s="50"/>
      <c r="N41" s="50"/>
      <c r="O41" s="50"/>
      <c r="P41" s="50"/>
      <c r="S41" s="31">
        <f>SUM(E41:P41)</f>
        <v>100</v>
      </c>
    </row>
    <row r="42" spans="1:19" x14ac:dyDescent="0.2">
      <c r="A42" s="51" t="str">
        <f>CONCATENATE($B$40,"|",B42)</f>
        <v>6|2</v>
      </c>
      <c r="B42" s="52" t="s">
        <v>190</v>
      </c>
      <c r="C42" s="47" t="s">
        <v>473</v>
      </c>
      <c r="D42" s="48">
        <v>2</v>
      </c>
      <c r="E42" s="49">
        <v>15</v>
      </c>
      <c r="F42" s="49">
        <v>25</v>
      </c>
      <c r="G42" s="49">
        <v>30</v>
      </c>
      <c r="H42" s="49">
        <v>25</v>
      </c>
      <c r="I42" s="49">
        <v>5</v>
      </c>
      <c r="J42" s="53"/>
      <c r="K42" s="53"/>
      <c r="L42" s="53"/>
      <c r="M42" s="53"/>
      <c r="N42" s="53"/>
      <c r="O42" s="53"/>
      <c r="P42" s="53"/>
      <c r="S42" s="31">
        <f t="shared" ref="S42:S51" si="6">SUM(E42:P42)</f>
        <v>100</v>
      </c>
    </row>
    <row r="43" spans="1:19" x14ac:dyDescent="0.2">
      <c r="A43" s="51" t="str">
        <f t="shared" ref="A43:A51" si="7">CONCATENATE($B$40,"|",B43)</f>
        <v>6|3</v>
      </c>
      <c r="B43" s="52" t="s">
        <v>208</v>
      </c>
      <c r="C43" s="47" t="s">
        <v>479</v>
      </c>
      <c r="D43" s="48">
        <v>3</v>
      </c>
      <c r="E43" s="54">
        <v>5</v>
      </c>
      <c r="F43" s="54">
        <v>20</v>
      </c>
      <c r="G43" s="54">
        <v>30</v>
      </c>
      <c r="H43" s="54">
        <v>25</v>
      </c>
      <c r="I43" s="54">
        <v>20</v>
      </c>
      <c r="J43" s="53"/>
      <c r="K43" s="53"/>
      <c r="L43" s="53"/>
      <c r="M43" s="53"/>
      <c r="N43" s="53"/>
      <c r="O43" s="53"/>
      <c r="P43" s="53"/>
      <c r="S43" s="31">
        <f t="shared" si="6"/>
        <v>100</v>
      </c>
    </row>
    <row r="44" spans="1:19" x14ac:dyDescent="0.2">
      <c r="A44" s="51" t="str">
        <f t="shared" si="7"/>
        <v>6|4</v>
      </c>
      <c r="B44" s="52" t="s">
        <v>226</v>
      </c>
      <c r="C44" s="47" t="s">
        <v>474</v>
      </c>
      <c r="D44" s="48">
        <v>4</v>
      </c>
      <c r="E44" s="54"/>
      <c r="F44" s="54">
        <v>5</v>
      </c>
      <c r="G44" s="54">
        <v>20</v>
      </c>
      <c r="H44" s="54">
        <v>30</v>
      </c>
      <c r="I44" s="54">
        <v>25</v>
      </c>
      <c r="J44" s="53">
        <v>20</v>
      </c>
      <c r="K44" s="53"/>
      <c r="L44" s="53"/>
      <c r="M44" s="53"/>
      <c r="N44" s="53"/>
      <c r="O44" s="53"/>
      <c r="P44" s="53"/>
      <c r="S44" s="31">
        <f t="shared" si="6"/>
        <v>100</v>
      </c>
    </row>
    <row r="45" spans="1:19" x14ac:dyDescent="0.2">
      <c r="A45" s="51" t="str">
        <f t="shared" si="7"/>
        <v>6|5</v>
      </c>
      <c r="B45" s="52" t="s">
        <v>189</v>
      </c>
      <c r="C45" s="47" t="s">
        <v>475</v>
      </c>
      <c r="D45" s="48">
        <v>5</v>
      </c>
      <c r="E45" s="54"/>
      <c r="F45" s="54">
        <v>15</v>
      </c>
      <c r="G45" s="54">
        <v>30</v>
      </c>
      <c r="H45" s="54">
        <v>30</v>
      </c>
      <c r="I45" s="54">
        <v>25</v>
      </c>
      <c r="J45" s="53"/>
      <c r="K45" s="53"/>
      <c r="L45" s="53"/>
      <c r="M45" s="53"/>
      <c r="N45" s="53"/>
      <c r="O45" s="53"/>
      <c r="P45" s="53"/>
      <c r="S45" s="31">
        <f t="shared" si="6"/>
        <v>100</v>
      </c>
    </row>
    <row r="46" spans="1:19" x14ac:dyDescent="0.2">
      <c r="A46" s="51" t="str">
        <f t="shared" si="7"/>
        <v>6|6</v>
      </c>
      <c r="B46" s="52" t="s">
        <v>228</v>
      </c>
      <c r="C46" s="47" t="s">
        <v>481</v>
      </c>
      <c r="D46" s="48">
        <v>3</v>
      </c>
      <c r="E46" s="54"/>
      <c r="F46" s="54">
        <v>5</v>
      </c>
      <c r="G46" s="54">
        <v>10</v>
      </c>
      <c r="H46" s="54">
        <v>30</v>
      </c>
      <c r="I46" s="54">
        <v>30</v>
      </c>
      <c r="J46" s="53">
        <v>25</v>
      </c>
      <c r="K46" s="53"/>
      <c r="L46" s="53"/>
      <c r="M46" s="53"/>
      <c r="N46" s="53"/>
      <c r="O46" s="53"/>
      <c r="P46" s="53"/>
      <c r="S46" s="31">
        <f t="shared" si="6"/>
        <v>100</v>
      </c>
    </row>
    <row r="47" spans="1:19" x14ac:dyDescent="0.2">
      <c r="A47" s="51" t="str">
        <f t="shared" si="7"/>
        <v>6|7</v>
      </c>
      <c r="B47" s="52" t="s">
        <v>456</v>
      </c>
      <c r="C47" s="47" t="s">
        <v>482</v>
      </c>
      <c r="D47" s="48">
        <v>5</v>
      </c>
      <c r="E47" s="54"/>
      <c r="F47" s="54"/>
      <c r="G47" s="54">
        <v>20</v>
      </c>
      <c r="H47" s="54">
        <v>20</v>
      </c>
      <c r="I47" s="54">
        <v>30</v>
      </c>
      <c r="J47" s="53">
        <v>30</v>
      </c>
      <c r="K47" s="53"/>
      <c r="L47" s="53"/>
      <c r="M47" s="53"/>
      <c r="N47" s="53"/>
      <c r="O47" s="53"/>
      <c r="P47" s="53"/>
      <c r="S47" s="31">
        <f t="shared" si="6"/>
        <v>100</v>
      </c>
    </row>
    <row r="48" spans="1:19" x14ac:dyDescent="0.2">
      <c r="A48" s="51" t="str">
        <f t="shared" si="7"/>
        <v>6|8</v>
      </c>
      <c r="B48" s="52" t="s">
        <v>323</v>
      </c>
      <c r="C48" s="47" t="s">
        <v>484</v>
      </c>
      <c r="D48" s="48">
        <v>6</v>
      </c>
      <c r="E48" s="54"/>
      <c r="F48" s="54"/>
      <c r="G48" s="54">
        <v>20</v>
      </c>
      <c r="H48" s="54">
        <v>30</v>
      </c>
      <c r="I48" s="54">
        <v>30</v>
      </c>
      <c r="J48" s="53">
        <v>20</v>
      </c>
      <c r="K48" s="53"/>
      <c r="L48" s="53"/>
      <c r="M48" s="53"/>
      <c r="N48" s="53"/>
      <c r="O48" s="53"/>
      <c r="P48" s="53"/>
      <c r="S48" s="31">
        <f t="shared" si="6"/>
        <v>100</v>
      </c>
    </row>
    <row r="49" spans="1:19" x14ac:dyDescent="0.2">
      <c r="A49" s="51" t="str">
        <f t="shared" si="7"/>
        <v>6|9</v>
      </c>
      <c r="B49" s="52" t="s">
        <v>485</v>
      </c>
      <c r="C49" s="47" t="s">
        <v>486</v>
      </c>
      <c r="D49" s="48">
        <v>6</v>
      </c>
      <c r="E49" s="54">
        <v>5</v>
      </c>
      <c r="F49" s="54">
        <v>15</v>
      </c>
      <c r="G49" s="54">
        <v>25</v>
      </c>
      <c r="H49" s="54">
        <v>25</v>
      </c>
      <c r="I49" s="54">
        <v>20</v>
      </c>
      <c r="J49" s="53">
        <v>10</v>
      </c>
      <c r="K49" s="53"/>
      <c r="L49" s="53"/>
      <c r="M49" s="53"/>
      <c r="N49" s="53"/>
      <c r="O49" s="53"/>
      <c r="P49" s="53"/>
      <c r="S49" s="31">
        <f t="shared" si="6"/>
        <v>100</v>
      </c>
    </row>
    <row r="50" spans="1:19" x14ac:dyDescent="0.2">
      <c r="A50" s="51" t="str">
        <f t="shared" si="7"/>
        <v>6|10</v>
      </c>
      <c r="B50" s="52" t="s">
        <v>487</v>
      </c>
      <c r="C50" s="47" t="s">
        <v>476</v>
      </c>
      <c r="D50" s="48"/>
      <c r="E50" s="54">
        <v>20</v>
      </c>
      <c r="F50" s="54">
        <v>30</v>
      </c>
      <c r="G50" s="54">
        <v>30</v>
      </c>
      <c r="H50" s="54">
        <v>15</v>
      </c>
      <c r="I50" s="54">
        <v>5</v>
      </c>
      <c r="J50" s="53"/>
      <c r="K50" s="53"/>
      <c r="L50" s="53"/>
      <c r="M50" s="53"/>
      <c r="N50" s="53"/>
      <c r="O50" s="53"/>
      <c r="P50" s="53"/>
      <c r="S50" s="31">
        <f t="shared" si="6"/>
        <v>100</v>
      </c>
    </row>
    <row r="51" spans="1:19" x14ac:dyDescent="0.2">
      <c r="A51" s="51" t="str">
        <f t="shared" si="7"/>
        <v>6|11</v>
      </c>
      <c r="B51" s="52" t="s">
        <v>736</v>
      </c>
      <c r="C51" s="47" t="s">
        <v>772</v>
      </c>
      <c r="D51" s="48"/>
      <c r="E51" s="54">
        <v>3</v>
      </c>
      <c r="F51" s="54">
        <v>12</v>
      </c>
      <c r="G51" s="54">
        <v>25</v>
      </c>
      <c r="H51" s="54">
        <v>28</v>
      </c>
      <c r="I51" s="54">
        <v>21</v>
      </c>
      <c r="J51" s="53">
        <v>11</v>
      </c>
      <c r="K51" s="53"/>
      <c r="L51" s="53"/>
      <c r="M51" s="53"/>
      <c r="N51" s="53"/>
      <c r="O51" s="53"/>
      <c r="P51" s="53"/>
      <c r="S51" s="31">
        <f t="shared" si="6"/>
        <v>100</v>
      </c>
    </row>
    <row r="52" spans="1:19" ht="5.45" customHeight="1" x14ac:dyDescent="0.2"/>
    <row r="53" spans="1:19" ht="13.5" thickBot="1" x14ac:dyDescent="0.25">
      <c r="A53" s="55" t="s">
        <v>80</v>
      </c>
      <c r="B53" s="56">
        <v>7</v>
      </c>
      <c r="C53" s="57"/>
      <c r="D53" s="58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</row>
    <row r="54" spans="1:19" ht="13.5" thickTop="1" x14ac:dyDescent="0.2">
      <c r="A54" s="59" t="str">
        <f>CONCATENATE($B$53,"|",B54)</f>
        <v>7|1</v>
      </c>
      <c r="B54" s="46">
        <v>1</v>
      </c>
      <c r="C54" s="47" t="s">
        <v>477</v>
      </c>
      <c r="D54" s="48">
        <v>1</v>
      </c>
      <c r="E54" s="49">
        <v>15</v>
      </c>
      <c r="F54" s="49">
        <v>30</v>
      </c>
      <c r="G54" s="49">
        <v>30</v>
      </c>
      <c r="H54" s="49">
        <v>20</v>
      </c>
      <c r="I54" s="49">
        <v>5</v>
      </c>
      <c r="J54" s="50"/>
      <c r="K54" s="50"/>
      <c r="L54" s="50"/>
      <c r="M54" s="50"/>
      <c r="N54" s="50"/>
      <c r="O54" s="50"/>
      <c r="P54" s="50"/>
      <c r="S54" s="31">
        <f>SUM(E54:P54)</f>
        <v>100</v>
      </c>
    </row>
    <row r="55" spans="1:19" x14ac:dyDescent="0.2">
      <c r="A55" s="51" t="str">
        <f>CONCATENATE($B$53,"|",B55)</f>
        <v>7|2</v>
      </c>
      <c r="B55" s="52" t="s">
        <v>190</v>
      </c>
      <c r="C55" s="47" t="s">
        <v>473</v>
      </c>
      <c r="D55" s="48">
        <v>2</v>
      </c>
      <c r="E55" s="49">
        <v>15</v>
      </c>
      <c r="F55" s="49">
        <v>20</v>
      </c>
      <c r="G55" s="49">
        <v>25</v>
      </c>
      <c r="H55" s="49">
        <v>25</v>
      </c>
      <c r="I55" s="49">
        <v>15</v>
      </c>
      <c r="J55" s="53"/>
      <c r="K55" s="53"/>
      <c r="L55" s="53"/>
      <c r="M55" s="53"/>
      <c r="N55" s="53"/>
      <c r="O55" s="53"/>
      <c r="P55" s="53"/>
      <c r="S55" s="31">
        <f t="shared" ref="S55:S64" si="8">SUM(E55:P55)</f>
        <v>100</v>
      </c>
    </row>
    <row r="56" spans="1:19" x14ac:dyDescent="0.2">
      <c r="A56" s="51" t="str">
        <f t="shared" ref="A56:A64" si="9">CONCATENATE($B$53,"|",B56)</f>
        <v>7|3</v>
      </c>
      <c r="B56" s="52" t="s">
        <v>208</v>
      </c>
      <c r="C56" s="47" t="s">
        <v>479</v>
      </c>
      <c r="D56" s="48">
        <v>3</v>
      </c>
      <c r="E56" s="54">
        <v>5</v>
      </c>
      <c r="F56" s="54">
        <v>15</v>
      </c>
      <c r="G56" s="54">
        <v>20</v>
      </c>
      <c r="H56" s="54">
        <v>25</v>
      </c>
      <c r="I56" s="54">
        <v>20</v>
      </c>
      <c r="J56" s="53">
        <v>15</v>
      </c>
      <c r="K56" s="53"/>
      <c r="L56" s="53"/>
      <c r="M56" s="53"/>
      <c r="N56" s="53"/>
      <c r="O56" s="53"/>
      <c r="P56" s="53"/>
      <c r="S56" s="31">
        <f t="shared" si="8"/>
        <v>100</v>
      </c>
    </row>
    <row r="57" spans="1:19" x14ac:dyDescent="0.2">
      <c r="A57" s="51" t="str">
        <f t="shared" si="9"/>
        <v>7|4</v>
      </c>
      <c r="B57" s="52" t="s">
        <v>226</v>
      </c>
      <c r="C57" s="47" t="s">
        <v>474</v>
      </c>
      <c r="D57" s="48">
        <v>4</v>
      </c>
      <c r="E57" s="54"/>
      <c r="F57" s="54"/>
      <c r="G57" s="54">
        <v>15</v>
      </c>
      <c r="H57" s="54">
        <v>25</v>
      </c>
      <c r="I57" s="54">
        <v>25</v>
      </c>
      <c r="J57" s="53">
        <v>25</v>
      </c>
      <c r="K57" s="53">
        <v>10</v>
      </c>
      <c r="L57" s="53"/>
      <c r="M57" s="53"/>
      <c r="N57" s="53"/>
      <c r="O57" s="53"/>
      <c r="P57" s="53"/>
      <c r="S57" s="31">
        <f t="shared" si="8"/>
        <v>100</v>
      </c>
    </row>
    <row r="58" spans="1:19" x14ac:dyDescent="0.2">
      <c r="A58" s="51" t="str">
        <f t="shared" si="9"/>
        <v>7|5</v>
      </c>
      <c r="B58" s="52" t="s">
        <v>189</v>
      </c>
      <c r="C58" s="47" t="s">
        <v>475</v>
      </c>
      <c r="D58" s="48">
        <v>5</v>
      </c>
      <c r="E58" s="54"/>
      <c r="F58" s="54">
        <v>10</v>
      </c>
      <c r="G58" s="54">
        <v>15</v>
      </c>
      <c r="H58" s="54">
        <v>30</v>
      </c>
      <c r="I58" s="54">
        <v>30</v>
      </c>
      <c r="J58" s="53">
        <v>15</v>
      </c>
      <c r="K58" s="53"/>
      <c r="L58" s="53"/>
      <c r="M58" s="53"/>
      <c r="N58" s="53"/>
      <c r="O58" s="53"/>
      <c r="P58" s="53"/>
      <c r="S58" s="31">
        <f t="shared" si="8"/>
        <v>100</v>
      </c>
    </row>
    <row r="59" spans="1:19" x14ac:dyDescent="0.2">
      <c r="A59" s="51" t="str">
        <f t="shared" si="9"/>
        <v>7|6</v>
      </c>
      <c r="B59" s="52" t="s">
        <v>228</v>
      </c>
      <c r="C59" s="47" t="s">
        <v>481</v>
      </c>
      <c r="D59" s="48">
        <v>3</v>
      </c>
      <c r="E59" s="54"/>
      <c r="F59" s="54">
        <v>5</v>
      </c>
      <c r="G59" s="54">
        <v>10</v>
      </c>
      <c r="H59" s="54">
        <v>25</v>
      </c>
      <c r="I59" s="54">
        <v>25</v>
      </c>
      <c r="J59" s="53">
        <v>20</v>
      </c>
      <c r="K59" s="53">
        <v>15</v>
      </c>
      <c r="L59" s="53"/>
      <c r="M59" s="53"/>
      <c r="N59" s="53"/>
      <c r="O59" s="53"/>
      <c r="P59" s="53"/>
      <c r="S59" s="31">
        <f t="shared" si="8"/>
        <v>100</v>
      </c>
    </row>
    <row r="60" spans="1:19" x14ac:dyDescent="0.2">
      <c r="A60" s="51" t="str">
        <f t="shared" si="9"/>
        <v>7|7</v>
      </c>
      <c r="B60" s="52" t="s">
        <v>456</v>
      </c>
      <c r="C60" s="47" t="s">
        <v>482</v>
      </c>
      <c r="D60" s="48">
        <v>5</v>
      </c>
      <c r="E60" s="54"/>
      <c r="F60" s="54"/>
      <c r="G60" s="54">
        <v>15</v>
      </c>
      <c r="H60" s="54">
        <v>15</v>
      </c>
      <c r="I60" s="54">
        <v>25</v>
      </c>
      <c r="J60" s="54">
        <v>25</v>
      </c>
      <c r="K60" s="53">
        <v>20</v>
      </c>
      <c r="L60" s="53"/>
      <c r="M60" s="53"/>
      <c r="N60" s="53"/>
      <c r="O60" s="53"/>
      <c r="P60" s="53"/>
      <c r="S60" s="31">
        <f t="shared" si="8"/>
        <v>100</v>
      </c>
    </row>
    <row r="61" spans="1:19" x14ac:dyDescent="0.2">
      <c r="A61" s="51" t="str">
        <f t="shared" si="9"/>
        <v>7|8</v>
      </c>
      <c r="B61" s="52" t="s">
        <v>323</v>
      </c>
      <c r="C61" s="47" t="s">
        <v>484</v>
      </c>
      <c r="D61" s="48">
        <v>6</v>
      </c>
      <c r="E61" s="54"/>
      <c r="F61" s="54"/>
      <c r="G61" s="54">
        <v>10</v>
      </c>
      <c r="H61" s="54">
        <v>20</v>
      </c>
      <c r="I61" s="54">
        <v>20</v>
      </c>
      <c r="J61" s="53">
        <v>30</v>
      </c>
      <c r="K61" s="53">
        <v>20</v>
      </c>
      <c r="L61" s="53"/>
      <c r="M61" s="53"/>
      <c r="N61" s="53"/>
      <c r="O61" s="53"/>
      <c r="P61" s="53"/>
      <c r="S61" s="31">
        <f t="shared" si="8"/>
        <v>100</v>
      </c>
    </row>
    <row r="62" spans="1:19" x14ac:dyDescent="0.2">
      <c r="A62" s="51" t="str">
        <f t="shared" si="9"/>
        <v>7|9</v>
      </c>
      <c r="B62" s="52" t="s">
        <v>485</v>
      </c>
      <c r="C62" s="47" t="s">
        <v>486</v>
      </c>
      <c r="D62" s="48">
        <v>6</v>
      </c>
      <c r="E62" s="54">
        <v>5</v>
      </c>
      <c r="F62" s="54">
        <v>10</v>
      </c>
      <c r="G62" s="54">
        <v>20</v>
      </c>
      <c r="H62" s="54">
        <v>20</v>
      </c>
      <c r="I62" s="54">
        <v>20</v>
      </c>
      <c r="J62" s="53">
        <v>15</v>
      </c>
      <c r="K62" s="53">
        <v>10</v>
      </c>
      <c r="L62" s="53"/>
      <c r="M62" s="53"/>
      <c r="N62" s="53"/>
      <c r="O62" s="53"/>
      <c r="P62" s="53"/>
      <c r="S62" s="31">
        <f t="shared" si="8"/>
        <v>100</v>
      </c>
    </row>
    <row r="63" spans="1:19" x14ac:dyDescent="0.2">
      <c r="A63" s="51" t="str">
        <f t="shared" si="9"/>
        <v>7|10</v>
      </c>
      <c r="B63" s="52" t="s">
        <v>487</v>
      </c>
      <c r="C63" s="47" t="s">
        <v>476</v>
      </c>
      <c r="D63" s="48"/>
      <c r="E63" s="54">
        <v>15</v>
      </c>
      <c r="F63" s="54">
        <v>25</v>
      </c>
      <c r="G63" s="54">
        <v>25</v>
      </c>
      <c r="H63" s="54">
        <v>20</v>
      </c>
      <c r="I63" s="54">
        <v>10</v>
      </c>
      <c r="J63" s="53">
        <v>5</v>
      </c>
      <c r="K63" s="53"/>
      <c r="L63" s="53"/>
      <c r="M63" s="53"/>
      <c r="N63" s="53"/>
      <c r="O63" s="53"/>
      <c r="P63" s="53"/>
      <c r="S63" s="31">
        <f t="shared" si="8"/>
        <v>100</v>
      </c>
    </row>
    <row r="64" spans="1:19" x14ac:dyDescent="0.2">
      <c r="A64" s="51" t="str">
        <f t="shared" si="9"/>
        <v>7|11</v>
      </c>
      <c r="B64" s="52" t="s">
        <v>736</v>
      </c>
      <c r="C64" s="47" t="s">
        <v>772</v>
      </c>
      <c r="D64" s="48"/>
      <c r="E64" s="54">
        <v>2</v>
      </c>
      <c r="F64" s="54">
        <v>8</v>
      </c>
      <c r="G64" s="54">
        <v>18</v>
      </c>
      <c r="H64" s="54">
        <v>20</v>
      </c>
      <c r="I64" s="54">
        <v>20</v>
      </c>
      <c r="J64" s="53">
        <v>20</v>
      </c>
      <c r="K64" s="53">
        <v>12</v>
      </c>
      <c r="L64" s="53"/>
      <c r="M64" s="53"/>
      <c r="N64" s="53"/>
      <c r="O64" s="53"/>
      <c r="P64" s="53"/>
      <c r="S64" s="31">
        <f t="shared" si="8"/>
        <v>100</v>
      </c>
    </row>
    <row r="65" spans="1:19" ht="5.45" customHeight="1" x14ac:dyDescent="0.2"/>
    <row r="66" spans="1:19" ht="13.5" thickBot="1" x14ac:dyDescent="0.25">
      <c r="A66" s="55" t="s">
        <v>80</v>
      </c>
      <c r="B66" s="56">
        <v>8</v>
      </c>
      <c r="C66" s="57"/>
      <c r="D66" s="58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</row>
    <row r="67" spans="1:19" ht="13.5" thickTop="1" x14ac:dyDescent="0.2">
      <c r="A67" s="59" t="str">
        <f>CONCATENATE($B$66,"|",B67)</f>
        <v>8|1</v>
      </c>
      <c r="B67" s="46">
        <v>1</v>
      </c>
      <c r="C67" s="47" t="s">
        <v>477</v>
      </c>
      <c r="D67" s="48">
        <v>1</v>
      </c>
      <c r="E67" s="49">
        <v>15</v>
      </c>
      <c r="F67" s="49">
        <v>20</v>
      </c>
      <c r="G67" s="49">
        <v>25</v>
      </c>
      <c r="H67" s="49">
        <v>25</v>
      </c>
      <c r="I67" s="49">
        <v>10</v>
      </c>
      <c r="J67" s="50">
        <v>5</v>
      </c>
      <c r="K67" s="50"/>
      <c r="L67" s="50"/>
      <c r="M67" s="50"/>
      <c r="N67" s="50"/>
      <c r="O67" s="50"/>
      <c r="P67" s="50"/>
      <c r="S67" s="31">
        <f>SUM(E67:P67)</f>
        <v>100</v>
      </c>
    </row>
    <row r="68" spans="1:19" x14ac:dyDescent="0.2">
      <c r="A68" s="51" t="str">
        <f>CONCATENATE($B$66,"|",B68)</f>
        <v>8|2</v>
      </c>
      <c r="B68" s="52" t="s">
        <v>190</v>
      </c>
      <c r="C68" s="47" t="s">
        <v>473</v>
      </c>
      <c r="D68" s="48">
        <v>2</v>
      </c>
      <c r="E68" s="49">
        <v>15</v>
      </c>
      <c r="F68" s="49">
        <v>20</v>
      </c>
      <c r="G68" s="49">
        <v>25</v>
      </c>
      <c r="H68" s="49">
        <v>25</v>
      </c>
      <c r="I68" s="49">
        <v>10</v>
      </c>
      <c r="J68" s="53">
        <v>5</v>
      </c>
      <c r="K68" s="53"/>
      <c r="L68" s="53"/>
      <c r="M68" s="53"/>
      <c r="N68" s="53"/>
      <c r="O68" s="53"/>
      <c r="P68" s="53"/>
      <c r="S68" s="31">
        <f t="shared" ref="S68:S77" si="10">SUM(E68:P68)</f>
        <v>100</v>
      </c>
    </row>
    <row r="69" spans="1:19" x14ac:dyDescent="0.2">
      <c r="A69" s="51" t="str">
        <f t="shared" ref="A69:A77" si="11">CONCATENATE($B$66,"|",B69)</f>
        <v>8|3</v>
      </c>
      <c r="B69" s="52" t="s">
        <v>208</v>
      </c>
      <c r="C69" s="47" t="s">
        <v>479</v>
      </c>
      <c r="D69" s="48">
        <v>3</v>
      </c>
      <c r="E69" s="54">
        <v>5</v>
      </c>
      <c r="F69" s="54">
        <v>10</v>
      </c>
      <c r="G69" s="54">
        <v>15</v>
      </c>
      <c r="H69" s="54">
        <v>20</v>
      </c>
      <c r="I69" s="54">
        <v>20</v>
      </c>
      <c r="J69" s="53">
        <v>20</v>
      </c>
      <c r="K69" s="53">
        <v>10</v>
      </c>
      <c r="L69" s="53"/>
      <c r="M69" s="53"/>
      <c r="N69" s="53"/>
      <c r="O69" s="53"/>
      <c r="P69" s="53"/>
      <c r="S69" s="31">
        <f t="shared" si="10"/>
        <v>100</v>
      </c>
    </row>
    <row r="70" spans="1:19" x14ac:dyDescent="0.2">
      <c r="A70" s="51" t="str">
        <f t="shared" si="11"/>
        <v>8|4</v>
      </c>
      <c r="B70" s="52" t="s">
        <v>226</v>
      </c>
      <c r="C70" s="47" t="s">
        <v>474</v>
      </c>
      <c r="D70" s="48">
        <v>4</v>
      </c>
      <c r="E70" s="54"/>
      <c r="F70" s="54"/>
      <c r="G70" s="54">
        <v>10</v>
      </c>
      <c r="H70" s="54">
        <v>25</v>
      </c>
      <c r="I70" s="54">
        <v>25</v>
      </c>
      <c r="J70" s="53">
        <v>20</v>
      </c>
      <c r="K70" s="53">
        <v>10</v>
      </c>
      <c r="L70" s="53">
        <v>10</v>
      </c>
      <c r="M70" s="53"/>
      <c r="N70" s="53"/>
      <c r="O70" s="53"/>
      <c r="P70" s="53"/>
      <c r="S70" s="31">
        <f t="shared" si="10"/>
        <v>100</v>
      </c>
    </row>
    <row r="71" spans="1:19" x14ac:dyDescent="0.2">
      <c r="A71" s="51" t="str">
        <f t="shared" si="11"/>
        <v>8|5</v>
      </c>
      <c r="B71" s="52" t="s">
        <v>189</v>
      </c>
      <c r="C71" s="47" t="s">
        <v>475</v>
      </c>
      <c r="D71" s="48">
        <v>5</v>
      </c>
      <c r="E71" s="54"/>
      <c r="F71" s="54">
        <v>5</v>
      </c>
      <c r="G71" s="54">
        <v>15</v>
      </c>
      <c r="H71" s="54">
        <v>25</v>
      </c>
      <c r="I71" s="54">
        <v>25</v>
      </c>
      <c r="J71" s="53">
        <v>15</v>
      </c>
      <c r="K71" s="53">
        <v>15</v>
      </c>
      <c r="L71" s="53"/>
      <c r="M71" s="53"/>
      <c r="N71" s="53"/>
      <c r="O71" s="53"/>
      <c r="P71" s="53"/>
      <c r="S71" s="31">
        <f t="shared" si="10"/>
        <v>100</v>
      </c>
    </row>
    <row r="72" spans="1:19" x14ac:dyDescent="0.2">
      <c r="A72" s="51" t="str">
        <f t="shared" si="11"/>
        <v>8|6</v>
      </c>
      <c r="B72" s="52" t="s">
        <v>228</v>
      </c>
      <c r="C72" s="47" t="s">
        <v>481</v>
      </c>
      <c r="D72" s="48">
        <v>3</v>
      </c>
      <c r="E72" s="54"/>
      <c r="F72" s="54"/>
      <c r="G72" s="54">
        <v>5</v>
      </c>
      <c r="H72" s="54">
        <v>20</v>
      </c>
      <c r="I72" s="54">
        <v>20</v>
      </c>
      <c r="J72" s="53">
        <v>25</v>
      </c>
      <c r="K72" s="53">
        <v>20</v>
      </c>
      <c r="L72" s="53">
        <v>10</v>
      </c>
      <c r="M72" s="53"/>
      <c r="N72" s="53"/>
      <c r="O72" s="53"/>
      <c r="P72" s="53"/>
      <c r="S72" s="31">
        <f t="shared" si="10"/>
        <v>100</v>
      </c>
    </row>
    <row r="73" spans="1:19" x14ac:dyDescent="0.2">
      <c r="A73" s="51" t="str">
        <f t="shared" si="11"/>
        <v>8|7</v>
      </c>
      <c r="B73" s="52" t="s">
        <v>456</v>
      </c>
      <c r="C73" s="47" t="s">
        <v>482</v>
      </c>
      <c r="D73" s="48">
        <v>5</v>
      </c>
      <c r="E73" s="54"/>
      <c r="F73" s="54"/>
      <c r="G73" s="54">
        <v>5</v>
      </c>
      <c r="H73" s="54">
        <v>15</v>
      </c>
      <c r="I73" s="54">
        <v>20</v>
      </c>
      <c r="J73" s="54">
        <v>25</v>
      </c>
      <c r="K73" s="54">
        <v>25</v>
      </c>
      <c r="L73" s="54">
        <v>10</v>
      </c>
      <c r="M73" s="53"/>
      <c r="N73" s="53"/>
      <c r="O73" s="53"/>
      <c r="P73" s="53"/>
      <c r="S73" s="31">
        <f t="shared" si="10"/>
        <v>100</v>
      </c>
    </row>
    <row r="74" spans="1:19" x14ac:dyDescent="0.2">
      <c r="A74" s="51" t="str">
        <f t="shared" si="11"/>
        <v>8|8</v>
      </c>
      <c r="B74" s="52" t="s">
        <v>323</v>
      </c>
      <c r="C74" s="47" t="s">
        <v>484</v>
      </c>
      <c r="D74" s="48">
        <v>6</v>
      </c>
      <c r="E74" s="54"/>
      <c r="F74" s="54"/>
      <c r="G74" s="54"/>
      <c r="H74" s="54">
        <v>20</v>
      </c>
      <c r="I74" s="54">
        <v>20</v>
      </c>
      <c r="J74" s="53">
        <v>30</v>
      </c>
      <c r="K74" s="53">
        <v>20</v>
      </c>
      <c r="L74" s="53">
        <v>10</v>
      </c>
      <c r="M74" s="53"/>
      <c r="N74" s="53"/>
      <c r="O74" s="53"/>
      <c r="P74" s="53"/>
      <c r="S74" s="31">
        <f t="shared" si="10"/>
        <v>100</v>
      </c>
    </row>
    <row r="75" spans="1:19" x14ac:dyDescent="0.2">
      <c r="A75" s="51" t="str">
        <f t="shared" si="11"/>
        <v>8|9</v>
      </c>
      <c r="B75" s="52" t="s">
        <v>485</v>
      </c>
      <c r="C75" s="47" t="s">
        <v>486</v>
      </c>
      <c r="D75" s="48">
        <v>6</v>
      </c>
      <c r="E75" s="54">
        <v>5</v>
      </c>
      <c r="F75" s="54">
        <v>5</v>
      </c>
      <c r="G75" s="54">
        <v>10</v>
      </c>
      <c r="H75" s="54">
        <v>15</v>
      </c>
      <c r="I75" s="54">
        <v>20</v>
      </c>
      <c r="J75" s="53">
        <v>20</v>
      </c>
      <c r="K75" s="53">
        <v>15</v>
      </c>
      <c r="L75" s="53">
        <v>10</v>
      </c>
      <c r="M75" s="53"/>
      <c r="N75" s="53"/>
      <c r="O75" s="53"/>
      <c r="P75" s="53"/>
      <c r="S75" s="31">
        <f t="shared" si="10"/>
        <v>100</v>
      </c>
    </row>
    <row r="76" spans="1:19" x14ac:dyDescent="0.2">
      <c r="A76" s="51" t="str">
        <f t="shared" si="11"/>
        <v>8|10</v>
      </c>
      <c r="B76" s="52" t="s">
        <v>487</v>
      </c>
      <c r="C76" s="47" t="s">
        <v>476</v>
      </c>
      <c r="D76" s="48"/>
      <c r="E76" s="54">
        <v>15</v>
      </c>
      <c r="F76" s="54">
        <v>20</v>
      </c>
      <c r="G76" s="54">
        <v>20</v>
      </c>
      <c r="H76" s="54">
        <v>20</v>
      </c>
      <c r="I76" s="54">
        <v>15</v>
      </c>
      <c r="J76" s="53">
        <v>10</v>
      </c>
      <c r="K76" s="53"/>
      <c r="L76" s="53"/>
      <c r="M76" s="53"/>
      <c r="N76" s="53"/>
      <c r="O76" s="53"/>
      <c r="P76" s="53"/>
      <c r="S76" s="31">
        <f t="shared" si="10"/>
        <v>100</v>
      </c>
    </row>
    <row r="77" spans="1:19" x14ac:dyDescent="0.2">
      <c r="A77" s="51" t="str">
        <f t="shared" si="11"/>
        <v>8|11</v>
      </c>
      <c r="B77" s="52" t="s">
        <v>736</v>
      </c>
      <c r="C77" s="47" t="s">
        <v>772</v>
      </c>
      <c r="D77" s="48"/>
      <c r="E77" s="54">
        <v>2</v>
      </c>
      <c r="F77" s="54">
        <v>2</v>
      </c>
      <c r="G77" s="54">
        <v>13</v>
      </c>
      <c r="H77" s="54">
        <v>15</v>
      </c>
      <c r="I77" s="54">
        <v>15</v>
      </c>
      <c r="J77" s="53">
        <v>22</v>
      </c>
      <c r="K77" s="53">
        <v>23</v>
      </c>
      <c r="L77" s="53">
        <v>8</v>
      </c>
      <c r="M77" s="53"/>
      <c r="N77" s="53"/>
      <c r="O77" s="53"/>
      <c r="P77" s="53"/>
      <c r="S77" s="31">
        <f t="shared" si="10"/>
        <v>100</v>
      </c>
    </row>
    <row r="78" spans="1:19" ht="5.45" customHeight="1" x14ac:dyDescent="0.2"/>
    <row r="79" spans="1:19" ht="13.5" thickBot="1" x14ac:dyDescent="0.25">
      <c r="A79" s="55" t="s">
        <v>80</v>
      </c>
      <c r="B79" s="56">
        <v>9</v>
      </c>
      <c r="C79" s="57"/>
      <c r="D79" s="58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</row>
    <row r="80" spans="1:19" ht="13.5" thickTop="1" x14ac:dyDescent="0.2">
      <c r="A80" s="59" t="str">
        <f>CONCATENATE($B$79,"|",B80)</f>
        <v>9|1</v>
      </c>
      <c r="B80" s="46">
        <v>1</v>
      </c>
      <c r="C80" s="47" t="s">
        <v>477</v>
      </c>
      <c r="D80" s="48">
        <v>1</v>
      </c>
      <c r="E80" s="49">
        <v>15</v>
      </c>
      <c r="F80" s="49">
        <v>15</v>
      </c>
      <c r="G80" s="49">
        <v>20</v>
      </c>
      <c r="H80" s="49">
        <v>20</v>
      </c>
      <c r="I80" s="49">
        <v>20</v>
      </c>
      <c r="J80" s="50">
        <v>10</v>
      </c>
      <c r="K80" s="50"/>
      <c r="L80" s="50"/>
      <c r="M80" s="50"/>
      <c r="N80" s="50"/>
      <c r="O80" s="50"/>
      <c r="P80" s="50"/>
      <c r="S80" s="31">
        <f>SUM(E80:P80)</f>
        <v>100</v>
      </c>
    </row>
    <row r="81" spans="1:19" x14ac:dyDescent="0.2">
      <c r="A81" s="51" t="str">
        <f>CONCATENATE($B$79,"|",B81)</f>
        <v>9|2</v>
      </c>
      <c r="B81" s="52" t="s">
        <v>190</v>
      </c>
      <c r="C81" s="47" t="s">
        <v>473</v>
      </c>
      <c r="D81" s="48">
        <v>2</v>
      </c>
      <c r="E81" s="49">
        <v>10</v>
      </c>
      <c r="F81" s="49">
        <v>15</v>
      </c>
      <c r="G81" s="49">
        <v>20</v>
      </c>
      <c r="H81" s="49">
        <v>20</v>
      </c>
      <c r="I81" s="49">
        <v>15</v>
      </c>
      <c r="J81" s="53">
        <v>15</v>
      </c>
      <c r="K81" s="53">
        <v>5</v>
      </c>
      <c r="L81" s="53"/>
      <c r="M81" s="53"/>
      <c r="N81" s="53"/>
      <c r="O81" s="53"/>
      <c r="P81" s="53"/>
      <c r="S81" s="31">
        <f t="shared" ref="S81:S90" si="12">SUM(E81:P81)</f>
        <v>100</v>
      </c>
    </row>
    <row r="82" spans="1:19" x14ac:dyDescent="0.2">
      <c r="A82" s="51" t="str">
        <f t="shared" ref="A82:A90" si="13">CONCATENATE($B$79,"|",B82)</f>
        <v>9|3</v>
      </c>
      <c r="B82" s="52" t="s">
        <v>208</v>
      </c>
      <c r="C82" s="47" t="s">
        <v>479</v>
      </c>
      <c r="D82" s="48">
        <v>3</v>
      </c>
      <c r="E82" s="54">
        <v>5</v>
      </c>
      <c r="F82" s="54">
        <v>10</v>
      </c>
      <c r="G82" s="54">
        <v>15</v>
      </c>
      <c r="H82" s="54">
        <v>20</v>
      </c>
      <c r="I82" s="54">
        <v>20</v>
      </c>
      <c r="J82" s="53">
        <v>10</v>
      </c>
      <c r="K82" s="53">
        <v>10</v>
      </c>
      <c r="L82" s="53">
        <v>10</v>
      </c>
      <c r="M82" s="53"/>
      <c r="N82" s="53"/>
      <c r="O82" s="53"/>
      <c r="P82" s="53"/>
      <c r="S82" s="31">
        <f t="shared" si="12"/>
        <v>100</v>
      </c>
    </row>
    <row r="83" spans="1:19" x14ac:dyDescent="0.2">
      <c r="A83" s="51" t="str">
        <f t="shared" si="13"/>
        <v>9|4</v>
      </c>
      <c r="B83" s="52" t="s">
        <v>226</v>
      </c>
      <c r="C83" s="47" t="s">
        <v>474</v>
      </c>
      <c r="D83" s="48">
        <v>4</v>
      </c>
      <c r="E83" s="54"/>
      <c r="F83" s="54"/>
      <c r="G83" s="54">
        <v>5</v>
      </c>
      <c r="H83" s="54">
        <v>15</v>
      </c>
      <c r="I83" s="54">
        <v>20</v>
      </c>
      <c r="J83" s="53">
        <v>20</v>
      </c>
      <c r="K83" s="53">
        <v>20</v>
      </c>
      <c r="L83" s="53">
        <v>15</v>
      </c>
      <c r="M83" s="53">
        <v>5</v>
      </c>
      <c r="N83" s="53"/>
      <c r="O83" s="53"/>
      <c r="P83" s="53"/>
      <c r="S83" s="31">
        <f t="shared" si="12"/>
        <v>100</v>
      </c>
    </row>
    <row r="84" spans="1:19" x14ac:dyDescent="0.2">
      <c r="A84" s="51" t="str">
        <f t="shared" si="13"/>
        <v>9|5</v>
      </c>
      <c r="B84" s="52" t="s">
        <v>189</v>
      </c>
      <c r="C84" s="47" t="s">
        <v>475</v>
      </c>
      <c r="D84" s="48">
        <v>5</v>
      </c>
      <c r="E84" s="54"/>
      <c r="F84" s="54">
        <v>5</v>
      </c>
      <c r="G84" s="54">
        <v>10</v>
      </c>
      <c r="H84" s="54">
        <v>15</v>
      </c>
      <c r="I84" s="54">
        <v>20</v>
      </c>
      <c r="J84" s="53">
        <v>20</v>
      </c>
      <c r="K84" s="53">
        <v>20</v>
      </c>
      <c r="L84" s="53">
        <v>10</v>
      </c>
      <c r="M84" s="53"/>
      <c r="N84" s="53"/>
      <c r="O84" s="53"/>
      <c r="P84" s="53"/>
      <c r="S84" s="31">
        <f t="shared" si="12"/>
        <v>100</v>
      </c>
    </row>
    <row r="85" spans="1:19" x14ac:dyDescent="0.2">
      <c r="A85" s="51" t="str">
        <f t="shared" si="13"/>
        <v>9|6</v>
      </c>
      <c r="B85" s="52" t="s">
        <v>228</v>
      </c>
      <c r="C85" s="47" t="s">
        <v>481</v>
      </c>
      <c r="D85" s="48">
        <v>3</v>
      </c>
      <c r="E85" s="54"/>
      <c r="F85" s="54"/>
      <c r="G85" s="54">
        <v>5</v>
      </c>
      <c r="H85" s="54">
        <v>10</v>
      </c>
      <c r="I85" s="54">
        <v>20</v>
      </c>
      <c r="J85" s="53">
        <v>20</v>
      </c>
      <c r="K85" s="53">
        <v>20</v>
      </c>
      <c r="L85" s="53">
        <v>15</v>
      </c>
      <c r="M85" s="53">
        <v>10</v>
      </c>
      <c r="N85" s="53"/>
      <c r="O85" s="53"/>
      <c r="P85" s="53"/>
      <c r="S85" s="31">
        <f t="shared" si="12"/>
        <v>100</v>
      </c>
    </row>
    <row r="86" spans="1:19" x14ac:dyDescent="0.2">
      <c r="A86" s="51" t="str">
        <f t="shared" si="13"/>
        <v>9|7</v>
      </c>
      <c r="B86" s="52" t="s">
        <v>456</v>
      </c>
      <c r="C86" s="47" t="s">
        <v>482</v>
      </c>
      <c r="D86" s="48">
        <v>5</v>
      </c>
      <c r="E86" s="54"/>
      <c r="F86" s="54"/>
      <c r="G86" s="54"/>
      <c r="H86" s="54">
        <v>15</v>
      </c>
      <c r="I86" s="54">
        <v>15</v>
      </c>
      <c r="J86" s="53">
        <v>15</v>
      </c>
      <c r="K86" s="53">
        <v>20</v>
      </c>
      <c r="L86" s="53">
        <v>20</v>
      </c>
      <c r="M86" s="53">
        <v>15</v>
      </c>
      <c r="N86" s="53"/>
      <c r="O86" s="53"/>
      <c r="P86" s="53"/>
      <c r="S86" s="31">
        <f t="shared" si="12"/>
        <v>100</v>
      </c>
    </row>
    <row r="87" spans="1:19" x14ac:dyDescent="0.2">
      <c r="A87" s="51" t="str">
        <f t="shared" si="13"/>
        <v>9|8</v>
      </c>
      <c r="B87" s="52" t="s">
        <v>323</v>
      </c>
      <c r="C87" s="47" t="s">
        <v>484</v>
      </c>
      <c r="D87" s="48">
        <v>6</v>
      </c>
      <c r="E87" s="54"/>
      <c r="F87" s="54"/>
      <c r="G87" s="54"/>
      <c r="H87" s="54">
        <v>10</v>
      </c>
      <c r="I87" s="54">
        <v>20</v>
      </c>
      <c r="J87" s="53">
        <v>30</v>
      </c>
      <c r="K87" s="53">
        <v>20</v>
      </c>
      <c r="L87" s="53">
        <v>10</v>
      </c>
      <c r="M87" s="53">
        <v>10</v>
      </c>
      <c r="N87" s="53"/>
      <c r="O87" s="53"/>
      <c r="P87" s="53"/>
      <c r="S87" s="31">
        <f t="shared" si="12"/>
        <v>100</v>
      </c>
    </row>
    <row r="88" spans="1:19" x14ac:dyDescent="0.2">
      <c r="A88" s="51" t="str">
        <f t="shared" si="13"/>
        <v>9|9</v>
      </c>
      <c r="B88" s="52" t="s">
        <v>485</v>
      </c>
      <c r="C88" s="47" t="s">
        <v>486</v>
      </c>
      <c r="D88" s="48">
        <v>6</v>
      </c>
      <c r="E88" s="54">
        <v>5</v>
      </c>
      <c r="F88" s="54">
        <v>5</v>
      </c>
      <c r="G88" s="54">
        <v>10</v>
      </c>
      <c r="H88" s="54">
        <v>15</v>
      </c>
      <c r="I88" s="54">
        <v>20</v>
      </c>
      <c r="J88" s="53">
        <v>15</v>
      </c>
      <c r="K88" s="53">
        <v>15</v>
      </c>
      <c r="L88" s="53">
        <v>15</v>
      </c>
      <c r="M88" s="53"/>
      <c r="N88" s="53"/>
      <c r="O88" s="53"/>
      <c r="P88" s="53"/>
      <c r="S88" s="31">
        <f t="shared" si="12"/>
        <v>100</v>
      </c>
    </row>
    <row r="89" spans="1:19" x14ac:dyDescent="0.2">
      <c r="A89" s="51" t="str">
        <f t="shared" si="13"/>
        <v>9|10</v>
      </c>
      <c r="B89" s="52" t="s">
        <v>487</v>
      </c>
      <c r="C89" s="47" t="s">
        <v>476</v>
      </c>
      <c r="D89" s="48"/>
      <c r="E89" s="54">
        <v>10</v>
      </c>
      <c r="F89" s="54">
        <v>15</v>
      </c>
      <c r="G89" s="54">
        <v>20</v>
      </c>
      <c r="H89" s="54">
        <v>20</v>
      </c>
      <c r="I89" s="54">
        <v>20</v>
      </c>
      <c r="J89" s="53">
        <v>10</v>
      </c>
      <c r="K89" s="53">
        <v>5</v>
      </c>
      <c r="L89" s="53"/>
      <c r="M89" s="53"/>
      <c r="N89" s="53"/>
      <c r="O89" s="53"/>
      <c r="P89" s="53"/>
      <c r="S89" s="31">
        <f t="shared" si="12"/>
        <v>100</v>
      </c>
    </row>
    <row r="90" spans="1:19" x14ac:dyDescent="0.2">
      <c r="A90" s="51" t="str">
        <f t="shared" si="13"/>
        <v>9|11</v>
      </c>
      <c r="B90" s="52" t="s">
        <v>736</v>
      </c>
      <c r="C90" s="47" t="s">
        <v>772</v>
      </c>
      <c r="D90" s="48"/>
      <c r="E90" s="54">
        <v>3</v>
      </c>
      <c r="F90" s="54">
        <v>5</v>
      </c>
      <c r="G90" s="54">
        <v>11</v>
      </c>
      <c r="H90" s="54">
        <v>15</v>
      </c>
      <c r="I90" s="54">
        <v>20</v>
      </c>
      <c r="J90" s="53">
        <v>16</v>
      </c>
      <c r="K90" s="53">
        <v>14</v>
      </c>
      <c r="L90" s="53">
        <v>10</v>
      </c>
      <c r="M90" s="53">
        <v>6</v>
      </c>
      <c r="N90" s="53"/>
      <c r="O90" s="53"/>
      <c r="P90" s="53"/>
      <c r="S90" s="31">
        <f t="shared" si="12"/>
        <v>100</v>
      </c>
    </row>
    <row r="91" spans="1:19" ht="5.45" customHeight="1" x14ac:dyDescent="0.2"/>
    <row r="92" spans="1:19" ht="13.5" thickBot="1" x14ac:dyDescent="0.25">
      <c r="A92" s="55" t="s">
        <v>80</v>
      </c>
      <c r="B92" s="56">
        <v>10</v>
      </c>
      <c r="C92" s="57"/>
      <c r="D92" s="58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</row>
    <row r="93" spans="1:19" ht="13.5" thickTop="1" x14ac:dyDescent="0.2">
      <c r="A93" s="59" t="str">
        <f>CONCATENATE($B$92,"|",B93)</f>
        <v>10|1</v>
      </c>
      <c r="B93" s="46">
        <v>1</v>
      </c>
      <c r="C93" s="47" t="s">
        <v>477</v>
      </c>
      <c r="D93" s="48">
        <v>1</v>
      </c>
      <c r="E93" s="49">
        <v>20</v>
      </c>
      <c r="F93" s="49">
        <v>20</v>
      </c>
      <c r="G93" s="49">
        <v>20</v>
      </c>
      <c r="H93" s="49">
        <v>10</v>
      </c>
      <c r="I93" s="49">
        <v>10</v>
      </c>
      <c r="J93" s="50">
        <v>10</v>
      </c>
      <c r="K93" s="50">
        <v>10</v>
      </c>
      <c r="L93" s="50"/>
      <c r="M93" s="50"/>
      <c r="N93" s="50"/>
      <c r="O93" s="50"/>
      <c r="P93" s="50"/>
      <c r="S93" s="31">
        <f>SUM(E93:P93)</f>
        <v>100</v>
      </c>
    </row>
    <row r="94" spans="1:19" x14ac:dyDescent="0.2">
      <c r="A94" s="51" t="str">
        <f>CONCATENATE($B$92,"|",B94)</f>
        <v>10|2</v>
      </c>
      <c r="B94" s="52" t="s">
        <v>190</v>
      </c>
      <c r="C94" s="47" t="s">
        <v>473</v>
      </c>
      <c r="D94" s="48">
        <v>2</v>
      </c>
      <c r="E94" s="49">
        <v>5</v>
      </c>
      <c r="F94" s="49">
        <v>10</v>
      </c>
      <c r="G94" s="49">
        <v>15</v>
      </c>
      <c r="H94" s="49">
        <v>20</v>
      </c>
      <c r="I94" s="49">
        <v>20</v>
      </c>
      <c r="J94" s="53">
        <v>15</v>
      </c>
      <c r="K94" s="53">
        <v>10</v>
      </c>
      <c r="L94" s="53">
        <v>5</v>
      </c>
      <c r="M94" s="53"/>
      <c r="N94" s="53"/>
      <c r="O94" s="53"/>
      <c r="P94" s="53"/>
      <c r="S94" s="31">
        <f t="shared" ref="S94:S103" si="14">SUM(E94:P94)</f>
        <v>100</v>
      </c>
    </row>
    <row r="95" spans="1:19" x14ac:dyDescent="0.2">
      <c r="A95" s="51" t="str">
        <f t="shared" ref="A95:A103" si="15">CONCATENATE($B$92,"|",B95)</f>
        <v>10|3</v>
      </c>
      <c r="B95" s="52" t="s">
        <v>208</v>
      </c>
      <c r="C95" s="47" t="s">
        <v>479</v>
      </c>
      <c r="D95" s="48">
        <v>3</v>
      </c>
      <c r="E95" s="54"/>
      <c r="F95" s="54">
        <v>5</v>
      </c>
      <c r="G95" s="54">
        <v>10</v>
      </c>
      <c r="H95" s="54">
        <v>15</v>
      </c>
      <c r="I95" s="54">
        <v>15</v>
      </c>
      <c r="J95" s="53">
        <v>15</v>
      </c>
      <c r="K95" s="53">
        <v>15</v>
      </c>
      <c r="L95" s="53">
        <v>15</v>
      </c>
      <c r="M95" s="53">
        <v>10</v>
      </c>
      <c r="N95" s="53"/>
      <c r="O95" s="53"/>
      <c r="P95" s="53"/>
      <c r="S95" s="31">
        <f t="shared" si="14"/>
        <v>100</v>
      </c>
    </row>
    <row r="96" spans="1:19" x14ac:dyDescent="0.2">
      <c r="A96" s="51" t="str">
        <f t="shared" si="15"/>
        <v>10|4</v>
      </c>
      <c r="B96" s="52" t="s">
        <v>226</v>
      </c>
      <c r="C96" s="47" t="s">
        <v>474</v>
      </c>
      <c r="D96" s="48">
        <v>4</v>
      </c>
      <c r="E96" s="54"/>
      <c r="F96" s="54"/>
      <c r="G96" s="54">
        <v>5</v>
      </c>
      <c r="H96" s="54">
        <v>5</v>
      </c>
      <c r="I96" s="54">
        <v>15</v>
      </c>
      <c r="J96" s="53">
        <v>20</v>
      </c>
      <c r="K96" s="53">
        <v>20</v>
      </c>
      <c r="L96" s="53">
        <v>15</v>
      </c>
      <c r="M96" s="53">
        <v>10</v>
      </c>
      <c r="N96" s="53">
        <v>10</v>
      </c>
      <c r="O96" s="53"/>
      <c r="P96" s="53"/>
      <c r="S96" s="31">
        <f t="shared" si="14"/>
        <v>100</v>
      </c>
    </row>
    <row r="97" spans="1:19" x14ac:dyDescent="0.2">
      <c r="A97" s="51" t="str">
        <f t="shared" si="15"/>
        <v>10|5</v>
      </c>
      <c r="B97" s="52" t="s">
        <v>189</v>
      </c>
      <c r="C97" s="47" t="s">
        <v>475</v>
      </c>
      <c r="D97" s="48">
        <v>5</v>
      </c>
      <c r="E97" s="54"/>
      <c r="F97" s="54"/>
      <c r="G97" s="54">
        <v>10</v>
      </c>
      <c r="H97" s="54">
        <v>10</v>
      </c>
      <c r="I97" s="54">
        <v>10</v>
      </c>
      <c r="J97" s="53">
        <v>20</v>
      </c>
      <c r="K97" s="53">
        <v>20</v>
      </c>
      <c r="L97" s="53">
        <v>20</v>
      </c>
      <c r="M97" s="53">
        <v>10</v>
      </c>
      <c r="N97" s="53"/>
      <c r="O97" s="53"/>
      <c r="P97" s="53"/>
      <c r="S97" s="31">
        <f t="shared" si="14"/>
        <v>100</v>
      </c>
    </row>
    <row r="98" spans="1:19" x14ac:dyDescent="0.2">
      <c r="A98" s="51" t="str">
        <f t="shared" si="15"/>
        <v>10|6</v>
      </c>
      <c r="B98" s="52" t="s">
        <v>228</v>
      </c>
      <c r="C98" s="47" t="s">
        <v>481</v>
      </c>
      <c r="D98" s="48">
        <v>3</v>
      </c>
      <c r="E98" s="54"/>
      <c r="F98" s="54"/>
      <c r="G98" s="54"/>
      <c r="H98" s="54">
        <v>5</v>
      </c>
      <c r="I98" s="54">
        <v>10</v>
      </c>
      <c r="J98" s="54">
        <v>15</v>
      </c>
      <c r="K98" s="53">
        <v>20</v>
      </c>
      <c r="L98" s="53">
        <v>20</v>
      </c>
      <c r="M98" s="53">
        <v>15</v>
      </c>
      <c r="N98" s="53">
        <v>15</v>
      </c>
      <c r="O98" s="53"/>
      <c r="P98" s="53"/>
      <c r="S98" s="31">
        <f t="shared" si="14"/>
        <v>100</v>
      </c>
    </row>
    <row r="99" spans="1:19" x14ac:dyDescent="0.2">
      <c r="A99" s="51" t="str">
        <f t="shared" si="15"/>
        <v>10|7</v>
      </c>
      <c r="B99" s="52" t="s">
        <v>456</v>
      </c>
      <c r="C99" s="47" t="s">
        <v>482</v>
      </c>
      <c r="D99" s="48">
        <v>5</v>
      </c>
      <c r="E99" s="54"/>
      <c r="F99" s="54"/>
      <c r="G99" s="54"/>
      <c r="H99" s="54">
        <v>15</v>
      </c>
      <c r="I99" s="54">
        <v>15</v>
      </c>
      <c r="J99" s="53">
        <v>15</v>
      </c>
      <c r="K99" s="53">
        <v>20</v>
      </c>
      <c r="L99" s="53">
        <v>15</v>
      </c>
      <c r="M99" s="53">
        <v>10</v>
      </c>
      <c r="N99" s="53">
        <v>10</v>
      </c>
      <c r="O99" s="53"/>
      <c r="P99" s="53"/>
      <c r="S99" s="31">
        <f t="shared" si="14"/>
        <v>100</v>
      </c>
    </row>
    <row r="100" spans="1:19" x14ac:dyDescent="0.2">
      <c r="A100" s="51" t="str">
        <f t="shared" si="15"/>
        <v>10|8</v>
      </c>
      <c r="B100" s="52" t="s">
        <v>323</v>
      </c>
      <c r="C100" s="47" t="s">
        <v>484</v>
      </c>
      <c r="D100" s="48">
        <v>6</v>
      </c>
      <c r="E100" s="54"/>
      <c r="F100" s="54"/>
      <c r="G100" s="54"/>
      <c r="H100" s="54">
        <v>10</v>
      </c>
      <c r="I100" s="54">
        <v>20</v>
      </c>
      <c r="J100" s="53">
        <v>20</v>
      </c>
      <c r="K100" s="53">
        <v>20</v>
      </c>
      <c r="L100" s="53">
        <v>10</v>
      </c>
      <c r="M100" s="53">
        <v>10</v>
      </c>
      <c r="N100" s="53">
        <v>10</v>
      </c>
      <c r="O100" s="53"/>
      <c r="P100" s="53"/>
      <c r="S100" s="31">
        <f t="shared" si="14"/>
        <v>100</v>
      </c>
    </row>
    <row r="101" spans="1:19" x14ac:dyDescent="0.2">
      <c r="A101" s="51" t="str">
        <f t="shared" si="15"/>
        <v>10|9</v>
      </c>
      <c r="B101" s="52" t="s">
        <v>485</v>
      </c>
      <c r="C101" s="47" t="s">
        <v>486</v>
      </c>
      <c r="D101" s="48">
        <v>6</v>
      </c>
      <c r="E101" s="54">
        <v>5</v>
      </c>
      <c r="F101" s="54">
        <v>5</v>
      </c>
      <c r="G101" s="54">
        <v>10</v>
      </c>
      <c r="H101" s="54">
        <v>10</v>
      </c>
      <c r="I101" s="54">
        <v>10</v>
      </c>
      <c r="J101" s="53">
        <v>15</v>
      </c>
      <c r="K101" s="53">
        <v>15</v>
      </c>
      <c r="L101" s="53">
        <v>10</v>
      </c>
      <c r="M101" s="53">
        <v>10</v>
      </c>
      <c r="N101" s="53">
        <v>10</v>
      </c>
      <c r="O101" s="53"/>
      <c r="P101" s="53"/>
      <c r="S101" s="31">
        <f t="shared" si="14"/>
        <v>100</v>
      </c>
    </row>
    <row r="102" spans="1:19" x14ac:dyDescent="0.2">
      <c r="A102" s="51" t="str">
        <f t="shared" si="15"/>
        <v>10|10</v>
      </c>
      <c r="B102" s="52" t="s">
        <v>487</v>
      </c>
      <c r="C102" s="47" t="s">
        <v>476</v>
      </c>
      <c r="D102" s="48"/>
      <c r="E102" s="54">
        <v>10</v>
      </c>
      <c r="F102" s="54">
        <v>15</v>
      </c>
      <c r="G102" s="54">
        <v>15</v>
      </c>
      <c r="H102" s="54">
        <v>15</v>
      </c>
      <c r="I102" s="54">
        <v>15</v>
      </c>
      <c r="J102" s="53">
        <v>15</v>
      </c>
      <c r="K102" s="53">
        <v>10</v>
      </c>
      <c r="L102" s="53">
        <v>5</v>
      </c>
      <c r="M102" s="53"/>
      <c r="N102" s="53"/>
      <c r="O102" s="53"/>
      <c r="P102" s="53"/>
      <c r="S102" s="31">
        <f t="shared" si="14"/>
        <v>100</v>
      </c>
    </row>
    <row r="103" spans="1:19" x14ac:dyDescent="0.2">
      <c r="A103" s="51" t="str">
        <f t="shared" si="15"/>
        <v>10|11</v>
      </c>
      <c r="B103" s="52" t="s">
        <v>736</v>
      </c>
      <c r="C103" s="47" t="s">
        <v>772</v>
      </c>
      <c r="D103" s="48"/>
      <c r="E103" s="54">
        <v>2</v>
      </c>
      <c r="F103" s="54">
        <v>2</v>
      </c>
      <c r="G103" s="54">
        <v>14</v>
      </c>
      <c r="H103" s="54">
        <v>14</v>
      </c>
      <c r="I103" s="54">
        <v>15</v>
      </c>
      <c r="J103" s="53">
        <v>15</v>
      </c>
      <c r="K103" s="53">
        <v>15</v>
      </c>
      <c r="L103" s="53">
        <v>15</v>
      </c>
      <c r="M103" s="53">
        <v>5</v>
      </c>
      <c r="N103" s="53">
        <v>3</v>
      </c>
      <c r="O103" s="53"/>
      <c r="P103" s="53"/>
      <c r="S103" s="31">
        <f t="shared" si="14"/>
        <v>100</v>
      </c>
    </row>
    <row r="104" spans="1:19" ht="5.45" customHeight="1" x14ac:dyDescent="0.2"/>
    <row r="105" spans="1:19" ht="13.5" thickBot="1" x14ac:dyDescent="0.25">
      <c r="A105" s="55" t="s">
        <v>80</v>
      </c>
      <c r="B105" s="56">
        <v>11</v>
      </c>
      <c r="C105" s="57"/>
      <c r="D105" s="58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</row>
    <row r="106" spans="1:19" ht="13.5" thickTop="1" x14ac:dyDescent="0.2">
      <c r="A106" s="59" t="str">
        <f>CONCATENATE($B$105,"|",B106)</f>
        <v>11|1</v>
      </c>
      <c r="B106" s="46">
        <v>1</v>
      </c>
      <c r="C106" s="47" t="s">
        <v>477</v>
      </c>
      <c r="D106" s="48">
        <v>1</v>
      </c>
      <c r="E106" s="49">
        <v>10</v>
      </c>
      <c r="F106" s="49">
        <v>20</v>
      </c>
      <c r="G106" s="49">
        <v>20</v>
      </c>
      <c r="H106" s="49">
        <v>20</v>
      </c>
      <c r="I106" s="49">
        <v>10</v>
      </c>
      <c r="J106" s="50">
        <v>10</v>
      </c>
      <c r="K106" s="50">
        <v>10</v>
      </c>
      <c r="L106" s="50"/>
      <c r="M106" s="50"/>
      <c r="N106" s="50"/>
      <c r="O106" s="50"/>
      <c r="P106" s="50"/>
      <c r="S106" s="31">
        <f>SUM(E106:P106)</f>
        <v>100</v>
      </c>
    </row>
    <row r="107" spans="1:19" x14ac:dyDescent="0.2">
      <c r="A107" s="51" t="str">
        <f>CONCATENATE($B$105,"|",B107)</f>
        <v>11|2</v>
      </c>
      <c r="B107" s="52" t="s">
        <v>190</v>
      </c>
      <c r="C107" s="47" t="s">
        <v>473</v>
      </c>
      <c r="D107" s="48">
        <v>2</v>
      </c>
      <c r="E107" s="49">
        <v>5</v>
      </c>
      <c r="F107" s="49">
        <v>10</v>
      </c>
      <c r="G107" s="49">
        <v>10</v>
      </c>
      <c r="H107" s="49">
        <v>15</v>
      </c>
      <c r="I107" s="49">
        <v>15</v>
      </c>
      <c r="J107" s="53">
        <v>15</v>
      </c>
      <c r="K107" s="53">
        <v>15</v>
      </c>
      <c r="L107" s="53">
        <v>10</v>
      </c>
      <c r="M107" s="53">
        <v>5</v>
      </c>
      <c r="N107" s="53"/>
      <c r="O107" s="53"/>
      <c r="P107" s="53"/>
      <c r="S107" s="31">
        <f t="shared" ref="S107:S116" si="16">SUM(E107:P107)</f>
        <v>100</v>
      </c>
    </row>
    <row r="108" spans="1:19" x14ac:dyDescent="0.2">
      <c r="A108" s="51" t="str">
        <f t="shared" ref="A108:A116" si="17">CONCATENATE($B$105,"|",B108)</f>
        <v>11|3</v>
      </c>
      <c r="B108" s="52" t="s">
        <v>208</v>
      </c>
      <c r="C108" s="47" t="s">
        <v>479</v>
      </c>
      <c r="D108" s="48">
        <v>3</v>
      </c>
      <c r="E108" s="54"/>
      <c r="F108" s="54">
        <v>5</v>
      </c>
      <c r="G108" s="54">
        <v>10</v>
      </c>
      <c r="H108" s="54">
        <v>10</v>
      </c>
      <c r="I108" s="54">
        <v>15</v>
      </c>
      <c r="J108" s="53">
        <v>15</v>
      </c>
      <c r="K108" s="53">
        <v>15</v>
      </c>
      <c r="L108" s="53">
        <v>10</v>
      </c>
      <c r="M108" s="53">
        <v>10</v>
      </c>
      <c r="N108" s="53">
        <v>10</v>
      </c>
      <c r="O108" s="53"/>
      <c r="P108" s="53"/>
      <c r="S108" s="31">
        <f t="shared" si="16"/>
        <v>100</v>
      </c>
    </row>
    <row r="109" spans="1:19" x14ac:dyDescent="0.2">
      <c r="A109" s="51" t="str">
        <f t="shared" si="17"/>
        <v>11|4</v>
      </c>
      <c r="B109" s="52" t="s">
        <v>226</v>
      </c>
      <c r="C109" s="47" t="s">
        <v>474</v>
      </c>
      <c r="D109" s="48">
        <v>4</v>
      </c>
      <c r="E109" s="54"/>
      <c r="F109" s="54"/>
      <c r="G109" s="54">
        <v>5</v>
      </c>
      <c r="H109" s="54">
        <v>10</v>
      </c>
      <c r="I109" s="54">
        <v>10</v>
      </c>
      <c r="J109" s="53">
        <v>15</v>
      </c>
      <c r="K109" s="53">
        <v>15</v>
      </c>
      <c r="L109" s="53">
        <v>15</v>
      </c>
      <c r="M109" s="53">
        <v>10</v>
      </c>
      <c r="N109" s="53">
        <v>10</v>
      </c>
      <c r="O109" s="53">
        <v>10</v>
      </c>
      <c r="P109" s="53"/>
      <c r="S109" s="31">
        <f t="shared" si="16"/>
        <v>100</v>
      </c>
    </row>
    <row r="110" spans="1:19" x14ac:dyDescent="0.2">
      <c r="A110" s="51" t="str">
        <f t="shared" si="17"/>
        <v>11|5</v>
      </c>
      <c r="B110" s="52" t="s">
        <v>189</v>
      </c>
      <c r="C110" s="47" t="s">
        <v>475</v>
      </c>
      <c r="D110" s="48">
        <v>5</v>
      </c>
      <c r="E110" s="54"/>
      <c r="F110" s="54"/>
      <c r="G110" s="54">
        <v>10</v>
      </c>
      <c r="H110" s="54">
        <v>10</v>
      </c>
      <c r="I110" s="54">
        <v>10</v>
      </c>
      <c r="J110" s="53">
        <v>15</v>
      </c>
      <c r="K110" s="53">
        <v>15</v>
      </c>
      <c r="L110" s="53">
        <v>15</v>
      </c>
      <c r="M110" s="53">
        <v>15</v>
      </c>
      <c r="N110" s="53">
        <v>10</v>
      </c>
      <c r="O110" s="53"/>
      <c r="P110" s="53"/>
      <c r="S110" s="31">
        <f t="shared" si="16"/>
        <v>100</v>
      </c>
    </row>
    <row r="111" spans="1:19" x14ac:dyDescent="0.2">
      <c r="A111" s="51" t="str">
        <f t="shared" si="17"/>
        <v>11|6</v>
      </c>
      <c r="B111" s="52" t="s">
        <v>228</v>
      </c>
      <c r="C111" s="47" t="s">
        <v>481</v>
      </c>
      <c r="D111" s="48">
        <v>3</v>
      </c>
      <c r="E111" s="54"/>
      <c r="F111" s="54"/>
      <c r="G111" s="54"/>
      <c r="H111" s="54">
        <v>5</v>
      </c>
      <c r="I111" s="54">
        <v>10</v>
      </c>
      <c r="J111" s="54">
        <v>15</v>
      </c>
      <c r="K111" s="53">
        <v>15</v>
      </c>
      <c r="L111" s="53">
        <v>15</v>
      </c>
      <c r="M111" s="53">
        <v>15</v>
      </c>
      <c r="N111" s="53">
        <v>15</v>
      </c>
      <c r="O111" s="53">
        <v>10</v>
      </c>
      <c r="P111" s="53"/>
      <c r="S111" s="31">
        <f t="shared" si="16"/>
        <v>100</v>
      </c>
    </row>
    <row r="112" spans="1:19" x14ac:dyDescent="0.2">
      <c r="A112" s="51" t="str">
        <f t="shared" si="17"/>
        <v>11|7</v>
      </c>
      <c r="B112" s="52" t="s">
        <v>456</v>
      </c>
      <c r="C112" s="47" t="s">
        <v>482</v>
      </c>
      <c r="D112" s="48">
        <v>5</v>
      </c>
      <c r="E112" s="54"/>
      <c r="F112" s="54"/>
      <c r="G112" s="54"/>
      <c r="H112" s="54">
        <v>10</v>
      </c>
      <c r="I112" s="54">
        <v>10</v>
      </c>
      <c r="J112" s="53">
        <v>15</v>
      </c>
      <c r="K112" s="53">
        <v>20</v>
      </c>
      <c r="L112" s="53">
        <v>15</v>
      </c>
      <c r="M112" s="53">
        <v>10</v>
      </c>
      <c r="N112" s="53">
        <v>10</v>
      </c>
      <c r="O112" s="53">
        <v>10</v>
      </c>
      <c r="P112" s="53"/>
      <c r="S112" s="31">
        <f t="shared" si="16"/>
        <v>100</v>
      </c>
    </row>
    <row r="113" spans="1:19" x14ac:dyDescent="0.2">
      <c r="A113" s="51" t="str">
        <f t="shared" si="17"/>
        <v>11|8</v>
      </c>
      <c r="B113" s="52" t="s">
        <v>323</v>
      </c>
      <c r="C113" s="47" t="s">
        <v>484</v>
      </c>
      <c r="D113" s="48">
        <v>6</v>
      </c>
      <c r="E113" s="54"/>
      <c r="F113" s="54"/>
      <c r="G113" s="54"/>
      <c r="H113" s="54">
        <v>10</v>
      </c>
      <c r="I113" s="54">
        <v>10</v>
      </c>
      <c r="J113" s="53">
        <v>20</v>
      </c>
      <c r="K113" s="53">
        <v>20</v>
      </c>
      <c r="L113" s="53">
        <v>10</v>
      </c>
      <c r="M113" s="53">
        <v>10</v>
      </c>
      <c r="N113" s="53">
        <v>10</v>
      </c>
      <c r="O113" s="53">
        <v>10</v>
      </c>
      <c r="P113" s="53"/>
      <c r="S113" s="31">
        <f t="shared" si="16"/>
        <v>100</v>
      </c>
    </row>
    <row r="114" spans="1:19" x14ac:dyDescent="0.2">
      <c r="A114" s="51" t="str">
        <f t="shared" si="17"/>
        <v>11|9</v>
      </c>
      <c r="B114" s="52" t="s">
        <v>485</v>
      </c>
      <c r="C114" s="47" t="s">
        <v>486</v>
      </c>
      <c r="D114" s="48">
        <v>6</v>
      </c>
      <c r="E114" s="54">
        <v>5</v>
      </c>
      <c r="F114" s="54">
        <v>5</v>
      </c>
      <c r="G114" s="54">
        <v>10</v>
      </c>
      <c r="H114" s="54">
        <v>10</v>
      </c>
      <c r="I114" s="54">
        <v>10</v>
      </c>
      <c r="J114" s="53">
        <v>10</v>
      </c>
      <c r="K114" s="53">
        <v>10</v>
      </c>
      <c r="L114" s="53">
        <v>10</v>
      </c>
      <c r="M114" s="53">
        <v>10</v>
      </c>
      <c r="N114" s="53">
        <v>10</v>
      </c>
      <c r="O114" s="53">
        <v>10</v>
      </c>
      <c r="P114" s="53"/>
      <c r="S114" s="31">
        <f t="shared" si="16"/>
        <v>100</v>
      </c>
    </row>
    <row r="115" spans="1:19" x14ac:dyDescent="0.2">
      <c r="A115" s="51" t="str">
        <f t="shared" si="17"/>
        <v>11|10</v>
      </c>
      <c r="B115" s="52" t="s">
        <v>487</v>
      </c>
      <c r="C115" s="47" t="s">
        <v>476</v>
      </c>
      <c r="D115" s="48"/>
      <c r="E115" s="54">
        <v>10</v>
      </c>
      <c r="F115" s="54">
        <v>10</v>
      </c>
      <c r="G115" s="54">
        <v>15</v>
      </c>
      <c r="H115" s="54">
        <v>15</v>
      </c>
      <c r="I115" s="54">
        <v>15</v>
      </c>
      <c r="J115" s="53">
        <v>10</v>
      </c>
      <c r="K115" s="53">
        <v>10</v>
      </c>
      <c r="L115" s="53">
        <v>10</v>
      </c>
      <c r="M115" s="53">
        <v>5</v>
      </c>
      <c r="N115" s="53"/>
      <c r="O115" s="53"/>
      <c r="P115" s="53"/>
      <c r="S115" s="31">
        <f t="shared" si="16"/>
        <v>100</v>
      </c>
    </row>
    <row r="116" spans="1:19" x14ac:dyDescent="0.2">
      <c r="A116" s="51" t="str">
        <f t="shared" si="17"/>
        <v>11|11</v>
      </c>
      <c r="B116" s="52" t="s">
        <v>736</v>
      </c>
      <c r="C116" s="47" t="s">
        <v>772</v>
      </c>
      <c r="D116" s="48"/>
      <c r="E116" s="54">
        <v>1</v>
      </c>
      <c r="F116" s="54">
        <v>1</v>
      </c>
      <c r="G116" s="54">
        <v>10</v>
      </c>
      <c r="H116" s="54">
        <v>15</v>
      </c>
      <c r="I116" s="54">
        <v>15</v>
      </c>
      <c r="J116" s="53">
        <v>15</v>
      </c>
      <c r="K116" s="53">
        <v>15</v>
      </c>
      <c r="L116" s="53">
        <v>15</v>
      </c>
      <c r="M116" s="53">
        <v>5</v>
      </c>
      <c r="N116" s="53">
        <v>3</v>
      </c>
      <c r="O116" s="53">
        <v>5</v>
      </c>
      <c r="P116" s="53"/>
      <c r="S116" s="31">
        <f t="shared" si="16"/>
        <v>100</v>
      </c>
    </row>
    <row r="117" spans="1:19" ht="5.45" customHeight="1" x14ac:dyDescent="0.2"/>
    <row r="118" spans="1:19" ht="13.5" thickBot="1" x14ac:dyDescent="0.25">
      <c r="A118" s="55" t="s">
        <v>80</v>
      </c>
      <c r="B118" s="56">
        <v>12</v>
      </c>
      <c r="C118" s="57"/>
      <c r="D118" s="58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</row>
    <row r="119" spans="1:19" ht="13.5" thickTop="1" x14ac:dyDescent="0.2">
      <c r="A119" s="59" t="str">
        <f>CONCATENATE($B$118,"|",B119)</f>
        <v>12|1</v>
      </c>
      <c r="B119" s="46">
        <v>1</v>
      </c>
      <c r="C119" s="47" t="s">
        <v>477</v>
      </c>
      <c r="D119" s="48">
        <v>1</v>
      </c>
      <c r="E119" s="49">
        <v>10</v>
      </c>
      <c r="F119" s="49">
        <v>20</v>
      </c>
      <c r="G119" s="49">
        <v>20</v>
      </c>
      <c r="H119" s="49">
        <v>20</v>
      </c>
      <c r="I119" s="49">
        <v>10</v>
      </c>
      <c r="J119" s="50">
        <v>10</v>
      </c>
      <c r="K119" s="50">
        <v>10</v>
      </c>
      <c r="L119" s="50"/>
      <c r="M119" s="50"/>
      <c r="N119" s="50"/>
      <c r="O119" s="50"/>
      <c r="P119" s="50"/>
      <c r="S119" s="31">
        <f>SUM(E119:P119)</f>
        <v>100</v>
      </c>
    </row>
    <row r="120" spans="1:19" x14ac:dyDescent="0.2">
      <c r="A120" s="51" t="str">
        <f>CONCATENATE($B$118,"|",B120)</f>
        <v>12|2</v>
      </c>
      <c r="B120" s="52" t="s">
        <v>190</v>
      </c>
      <c r="C120" s="47" t="s">
        <v>473</v>
      </c>
      <c r="D120" s="48">
        <v>2</v>
      </c>
      <c r="E120" s="49">
        <v>5</v>
      </c>
      <c r="F120" s="49">
        <v>10</v>
      </c>
      <c r="G120" s="49">
        <v>10</v>
      </c>
      <c r="H120" s="49">
        <v>15</v>
      </c>
      <c r="I120" s="49">
        <v>15</v>
      </c>
      <c r="J120" s="53">
        <v>15</v>
      </c>
      <c r="K120" s="53">
        <v>10</v>
      </c>
      <c r="L120" s="53">
        <v>10</v>
      </c>
      <c r="M120" s="53">
        <v>10</v>
      </c>
      <c r="N120" s="53"/>
      <c r="O120" s="53"/>
      <c r="P120" s="53"/>
      <c r="S120" s="31">
        <f t="shared" ref="S120:S129" si="18">SUM(E120:P120)</f>
        <v>100</v>
      </c>
    </row>
    <row r="121" spans="1:19" x14ac:dyDescent="0.2">
      <c r="A121" s="51" t="str">
        <f t="shared" ref="A121:A129" si="19">CONCATENATE($B$118,"|",B121)</f>
        <v>12|3</v>
      </c>
      <c r="B121" s="52" t="s">
        <v>208</v>
      </c>
      <c r="C121" s="47" t="s">
        <v>479</v>
      </c>
      <c r="D121" s="48">
        <v>3</v>
      </c>
      <c r="E121" s="54"/>
      <c r="F121" s="54">
        <v>5</v>
      </c>
      <c r="G121" s="54">
        <v>10</v>
      </c>
      <c r="H121" s="54">
        <v>10</v>
      </c>
      <c r="I121" s="54">
        <v>10</v>
      </c>
      <c r="J121" s="53">
        <v>15</v>
      </c>
      <c r="K121" s="53">
        <v>15</v>
      </c>
      <c r="L121" s="53">
        <v>10</v>
      </c>
      <c r="M121" s="53">
        <v>10</v>
      </c>
      <c r="N121" s="53">
        <v>10</v>
      </c>
      <c r="O121" s="53">
        <v>5</v>
      </c>
      <c r="P121" s="53"/>
      <c r="S121" s="31">
        <f t="shared" si="18"/>
        <v>100</v>
      </c>
    </row>
    <row r="122" spans="1:19" x14ac:dyDescent="0.2">
      <c r="A122" s="51" t="str">
        <f t="shared" si="19"/>
        <v>12|4</v>
      </c>
      <c r="B122" s="52" t="s">
        <v>226</v>
      </c>
      <c r="C122" s="47" t="s">
        <v>474</v>
      </c>
      <c r="D122" s="48">
        <v>4</v>
      </c>
      <c r="E122" s="54"/>
      <c r="F122" s="54"/>
      <c r="G122" s="54">
        <v>5</v>
      </c>
      <c r="H122" s="54">
        <v>10</v>
      </c>
      <c r="I122" s="54">
        <v>10</v>
      </c>
      <c r="J122" s="53">
        <v>10</v>
      </c>
      <c r="K122" s="53">
        <v>10</v>
      </c>
      <c r="L122" s="53">
        <v>15</v>
      </c>
      <c r="M122" s="53">
        <v>10</v>
      </c>
      <c r="N122" s="53">
        <v>15</v>
      </c>
      <c r="O122" s="53">
        <v>10</v>
      </c>
      <c r="P122" s="53">
        <v>5</v>
      </c>
      <c r="S122" s="31">
        <f t="shared" si="18"/>
        <v>100</v>
      </c>
    </row>
    <row r="123" spans="1:19" x14ac:dyDescent="0.2">
      <c r="A123" s="51" t="str">
        <f t="shared" si="19"/>
        <v>12|5</v>
      </c>
      <c r="B123" s="52" t="s">
        <v>189</v>
      </c>
      <c r="C123" s="47" t="s">
        <v>475</v>
      </c>
      <c r="D123" s="48">
        <v>5</v>
      </c>
      <c r="E123" s="54"/>
      <c r="F123" s="54"/>
      <c r="G123" s="54">
        <v>10</v>
      </c>
      <c r="H123" s="54">
        <v>10</v>
      </c>
      <c r="I123" s="54">
        <v>10</v>
      </c>
      <c r="J123" s="53">
        <v>10</v>
      </c>
      <c r="K123" s="53">
        <v>10</v>
      </c>
      <c r="L123" s="53">
        <v>15</v>
      </c>
      <c r="M123" s="53">
        <v>15</v>
      </c>
      <c r="N123" s="53">
        <v>10</v>
      </c>
      <c r="O123" s="53">
        <v>10</v>
      </c>
      <c r="P123" s="53"/>
      <c r="S123" s="31">
        <f t="shared" si="18"/>
        <v>100</v>
      </c>
    </row>
    <row r="124" spans="1:19" x14ac:dyDescent="0.2">
      <c r="A124" s="51" t="str">
        <f t="shared" si="19"/>
        <v>12|6</v>
      </c>
      <c r="B124" s="52" t="s">
        <v>228</v>
      </c>
      <c r="C124" s="47" t="s">
        <v>481</v>
      </c>
      <c r="D124" s="48">
        <v>3</v>
      </c>
      <c r="E124" s="54"/>
      <c r="F124" s="54"/>
      <c r="G124" s="54"/>
      <c r="H124" s="54">
        <v>5</v>
      </c>
      <c r="I124" s="54">
        <v>10</v>
      </c>
      <c r="J124" s="54">
        <v>10</v>
      </c>
      <c r="K124" s="53">
        <v>10</v>
      </c>
      <c r="L124" s="53">
        <v>15</v>
      </c>
      <c r="M124" s="53">
        <v>15</v>
      </c>
      <c r="N124" s="53">
        <v>15</v>
      </c>
      <c r="O124" s="53">
        <v>10</v>
      </c>
      <c r="P124" s="53">
        <v>10</v>
      </c>
      <c r="S124" s="31">
        <f t="shared" si="18"/>
        <v>100</v>
      </c>
    </row>
    <row r="125" spans="1:19" x14ac:dyDescent="0.2">
      <c r="A125" s="51" t="str">
        <f t="shared" si="19"/>
        <v>12|7</v>
      </c>
      <c r="B125" s="52" t="s">
        <v>456</v>
      </c>
      <c r="C125" s="47" t="s">
        <v>482</v>
      </c>
      <c r="D125" s="48">
        <v>5</v>
      </c>
      <c r="E125" s="54"/>
      <c r="F125" s="54"/>
      <c r="G125" s="54"/>
      <c r="H125" s="54">
        <v>5</v>
      </c>
      <c r="I125" s="54">
        <v>10</v>
      </c>
      <c r="J125" s="53">
        <v>10</v>
      </c>
      <c r="K125" s="53">
        <v>15</v>
      </c>
      <c r="L125" s="53">
        <v>15</v>
      </c>
      <c r="M125" s="53">
        <v>15</v>
      </c>
      <c r="N125" s="53">
        <v>10</v>
      </c>
      <c r="O125" s="53">
        <v>10</v>
      </c>
      <c r="P125" s="53">
        <v>10</v>
      </c>
      <c r="S125" s="31">
        <f t="shared" si="18"/>
        <v>100</v>
      </c>
    </row>
    <row r="126" spans="1:19" x14ac:dyDescent="0.2">
      <c r="A126" s="51" t="str">
        <f t="shared" si="19"/>
        <v>12|8</v>
      </c>
      <c r="B126" s="52" t="s">
        <v>323</v>
      </c>
      <c r="C126" s="47" t="s">
        <v>484</v>
      </c>
      <c r="D126" s="48">
        <v>6</v>
      </c>
      <c r="E126" s="54"/>
      <c r="F126" s="54"/>
      <c r="G126" s="54"/>
      <c r="H126" s="54">
        <v>10</v>
      </c>
      <c r="I126" s="54">
        <v>10</v>
      </c>
      <c r="J126" s="53">
        <v>10</v>
      </c>
      <c r="K126" s="53">
        <v>20</v>
      </c>
      <c r="L126" s="53">
        <v>10</v>
      </c>
      <c r="M126" s="53">
        <v>10</v>
      </c>
      <c r="N126" s="53">
        <v>10</v>
      </c>
      <c r="O126" s="53">
        <v>10</v>
      </c>
      <c r="P126" s="53">
        <v>10</v>
      </c>
      <c r="S126" s="31">
        <f t="shared" si="18"/>
        <v>100</v>
      </c>
    </row>
    <row r="127" spans="1:19" x14ac:dyDescent="0.2">
      <c r="A127" s="51" t="str">
        <f t="shared" si="19"/>
        <v>12|9</v>
      </c>
      <c r="B127" s="52" t="s">
        <v>485</v>
      </c>
      <c r="C127" s="47" t="s">
        <v>486</v>
      </c>
      <c r="D127" s="48">
        <v>6</v>
      </c>
      <c r="E127" s="54">
        <v>5</v>
      </c>
      <c r="F127" s="54">
        <v>5</v>
      </c>
      <c r="G127" s="54">
        <v>5</v>
      </c>
      <c r="H127" s="54">
        <v>5</v>
      </c>
      <c r="I127" s="54">
        <v>10</v>
      </c>
      <c r="J127" s="53">
        <v>10</v>
      </c>
      <c r="K127" s="53">
        <v>10</v>
      </c>
      <c r="L127" s="53">
        <v>10</v>
      </c>
      <c r="M127" s="53">
        <v>10</v>
      </c>
      <c r="N127" s="53">
        <v>10</v>
      </c>
      <c r="O127" s="53">
        <v>10</v>
      </c>
      <c r="P127" s="53">
        <v>10</v>
      </c>
      <c r="S127" s="31">
        <f t="shared" si="18"/>
        <v>100</v>
      </c>
    </row>
    <row r="128" spans="1:19" x14ac:dyDescent="0.2">
      <c r="A128" s="51" t="str">
        <f t="shared" si="19"/>
        <v>12|10</v>
      </c>
      <c r="B128" s="52" t="s">
        <v>487</v>
      </c>
      <c r="C128" s="47" t="s">
        <v>476</v>
      </c>
      <c r="D128" s="48"/>
      <c r="E128" s="54">
        <v>10</v>
      </c>
      <c r="F128" s="54">
        <v>15</v>
      </c>
      <c r="G128" s="54">
        <v>10</v>
      </c>
      <c r="H128" s="54">
        <v>10</v>
      </c>
      <c r="I128" s="54">
        <v>10</v>
      </c>
      <c r="J128" s="53">
        <v>10</v>
      </c>
      <c r="K128" s="53">
        <v>10</v>
      </c>
      <c r="L128" s="53">
        <v>10</v>
      </c>
      <c r="M128" s="53">
        <v>10</v>
      </c>
      <c r="N128" s="53">
        <v>5</v>
      </c>
      <c r="O128" s="53"/>
      <c r="P128" s="53"/>
      <c r="S128" s="31">
        <f t="shared" si="18"/>
        <v>100</v>
      </c>
    </row>
    <row r="129" spans="1:19" x14ac:dyDescent="0.2">
      <c r="A129" s="51" t="str">
        <f t="shared" si="19"/>
        <v>12|11</v>
      </c>
      <c r="B129" s="52" t="s">
        <v>736</v>
      </c>
      <c r="C129" s="47" t="s">
        <v>772</v>
      </c>
      <c r="D129" s="48"/>
      <c r="E129" s="54">
        <v>1</v>
      </c>
      <c r="F129" s="54">
        <v>1</v>
      </c>
      <c r="G129" s="54">
        <v>10</v>
      </c>
      <c r="H129" s="54">
        <v>10</v>
      </c>
      <c r="I129" s="54">
        <v>15</v>
      </c>
      <c r="J129" s="53">
        <v>15</v>
      </c>
      <c r="K129" s="53">
        <v>15</v>
      </c>
      <c r="L129" s="53">
        <v>15</v>
      </c>
      <c r="M129" s="53">
        <v>5</v>
      </c>
      <c r="N129" s="53">
        <v>3</v>
      </c>
      <c r="O129" s="53">
        <v>5</v>
      </c>
      <c r="P129" s="53">
        <v>5</v>
      </c>
      <c r="S129" s="31">
        <f t="shared" si="18"/>
        <v>100</v>
      </c>
    </row>
    <row r="131" spans="1:19" x14ac:dyDescent="0.2">
      <c r="S131" s="31">
        <f>SUM(S2:S129)</f>
        <v>11000</v>
      </c>
    </row>
  </sheetData>
  <sheetProtection sheet="1" objects="1" scenarios="1"/>
  <printOptions horizontalCentered="1" verticalCentered="1"/>
  <pageMargins left="0.78740157480314965" right="0.78740157480314965" top="0.98425196850393704" bottom="0.59055118110236227" header="0.51181102362204722" footer="0.51181102362204722"/>
  <pageSetup paperSize="8" scale="94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55"/>
  <sheetViews>
    <sheetView showZeros="0" topLeftCell="B1" zoomScaleNormal="100" workbookViewId="0">
      <selection activeCell="E7" sqref="E7"/>
    </sheetView>
  </sheetViews>
  <sheetFormatPr defaultColWidth="10.6640625" defaultRowHeight="12.75" x14ac:dyDescent="0.2"/>
  <cols>
    <col min="1" max="1" width="5" style="31" hidden="1" customWidth="1"/>
    <col min="2" max="2" width="13.1640625" style="31" customWidth="1"/>
    <col min="3" max="3" width="26.1640625" style="31" customWidth="1"/>
    <col min="4" max="4" width="17.6640625" style="31" customWidth="1"/>
    <col min="5" max="5" width="3.83203125" style="31" customWidth="1"/>
    <col min="6" max="8" width="12.5" style="31" customWidth="1"/>
    <col min="9" max="9" width="13" style="31" customWidth="1"/>
    <col min="10" max="12" width="12.5" style="31" customWidth="1"/>
    <col min="13" max="13" width="13.6640625" style="31" customWidth="1"/>
    <col min="14" max="15" width="12.5" style="31" customWidth="1"/>
    <col min="16" max="17" width="13.83203125" style="31" customWidth="1"/>
    <col min="18" max="18" width="8.33203125" style="31" bestFit="1" customWidth="1"/>
    <col min="19" max="19" width="14.83203125" style="31" bestFit="1" customWidth="1"/>
    <col min="20" max="20" width="10.33203125" style="31" bestFit="1" customWidth="1"/>
    <col min="21" max="21" width="10.6640625" style="31" customWidth="1"/>
    <col min="22" max="259" width="10.6640625" style="31"/>
    <col min="260" max="260" width="13.1640625" style="31" customWidth="1"/>
    <col min="261" max="261" width="79" style="31" customWidth="1"/>
    <col min="262" max="262" width="3.83203125" style="31" customWidth="1"/>
    <col min="263" max="275" width="12.5" style="31" customWidth="1"/>
    <col min="276" max="276" width="8.5" style="31" customWidth="1"/>
    <col min="277" max="515" width="10.6640625" style="31"/>
    <col min="516" max="516" width="13.1640625" style="31" customWidth="1"/>
    <col min="517" max="517" width="79" style="31" customWidth="1"/>
    <col min="518" max="518" width="3.83203125" style="31" customWidth="1"/>
    <col min="519" max="531" width="12.5" style="31" customWidth="1"/>
    <col min="532" max="532" width="8.5" style="31" customWidth="1"/>
    <col min="533" max="771" width="10.6640625" style="31"/>
    <col min="772" max="772" width="13.1640625" style="31" customWidth="1"/>
    <col min="773" max="773" width="79" style="31" customWidth="1"/>
    <col min="774" max="774" width="3.83203125" style="31" customWidth="1"/>
    <col min="775" max="787" width="12.5" style="31" customWidth="1"/>
    <col min="788" max="788" width="8.5" style="31" customWidth="1"/>
    <col min="789" max="1027" width="10.6640625" style="31"/>
    <col min="1028" max="1028" width="13.1640625" style="31" customWidth="1"/>
    <col min="1029" max="1029" width="79" style="31" customWidth="1"/>
    <col min="1030" max="1030" width="3.83203125" style="31" customWidth="1"/>
    <col min="1031" max="1043" width="12.5" style="31" customWidth="1"/>
    <col min="1044" max="1044" width="8.5" style="31" customWidth="1"/>
    <col min="1045" max="1283" width="10.6640625" style="31"/>
    <col min="1284" max="1284" width="13.1640625" style="31" customWidth="1"/>
    <col min="1285" max="1285" width="79" style="31" customWidth="1"/>
    <col min="1286" max="1286" width="3.83203125" style="31" customWidth="1"/>
    <col min="1287" max="1299" width="12.5" style="31" customWidth="1"/>
    <col min="1300" max="1300" width="8.5" style="31" customWidth="1"/>
    <col min="1301" max="1539" width="10.6640625" style="31"/>
    <col min="1540" max="1540" width="13.1640625" style="31" customWidth="1"/>
    <col min="1541" max="1541" width="79" style="31" customWidth="1"/>
    <col min="1542" max="1542" width="3.83203125" style="31" customWidth="1"/>
    <col min="1543" max="1555" width="12.5" style="31" customWidth="1"/>
    <col min="1556" max="1556" width="8.5" style="31" customWidth="1"/>
    <col min="1557" max="1795" width="10.6640625" style="31"/>
    <col min="1796" max="1796" width="13.1640625" style="31" customWidth="1"/>
    <col min="1797" max="1797" width="79" style="31" customWidth="1"/>
    <col min="1798" max="1798" width="3.83203125" style="31" customWidth="1"/>
    <col min="1799" max="1811" width="12.5" style="31" customWidth="1"/>
    <col min="1812" max="1812" width="8.5" style="31" customWidth="1"/>
    <col min="1813" max="2051" width="10.6640625" style="31"/>
    <col min="2052" max="2052" width="13.1640625" style="31" customWidth="1"/>
    <col min="2053" max="2053" width="79" style="31" customWidth="1"/>
    <col min="2054" max="2054" width="3.83203125" style="31" customWidth="1"/>
    <col min="2055" max="2067" width="12.5" style="31" customWidth="1"/>
    <col min="2068" max="2068" width="8.5" style="31" customWidth="1"/>
    <col min="2069" max="2307" width="10.6640625" style="31"/>
    <col min="2308" max="2308" width="13.1640625" style="31" customWidth="1"/>
    <col min="2309" max="2309" width="79" style="31" customWidth="1"/>
    <col min="2310" max="2310" width="3.83203125" style="31" customWidth="1"/>
    <col min="2311" max="2323" width="12.5" style="31" customWidth="1"/>
    <col min="2324" max="2324" width="8.5" style="31" customWidth="1"/>
    <col min="2325" max="2563" width="10.6640625" style="31"/>
    <col min="2564" max="2564" width="13.1640625" style="31" customWidth="1"/>
    <col min="2565" max="2565" width="79" style="31" customWidth="1"/>
    <col min="2566" max="2566" width="3.83203125" style="31" customWidth="1"/>
    <col min="2567" max="2579" width="12.5" style="31" customWidth="1"/>
    <col min="2580" max="2580" width="8.5" style="31" customWidth="1"/>
    <col min="2581" max="2819" width="10.6640625" style="31"/>
    <col min="2820" max="2820" width="13.1640625" style="31" customWidth="1"/>
    <col min="2821" max="2821" width="79" style="31" customWidth="1"/>
    <col min="2822" max="2822" width="3.83203125" style="31" customWidth="1"/>
    <col min="2823" max="2835" width="12.5" style="31" customWidth="1"/>
    <col min="2836" max="2836" width="8.5" style="31" customWidth="1"/>
    <col min="2837" max="3075" width="10.6640625" style="31"/>
    <col min="3076" max="3076" width="13.1640625" style="31" customWidth="1"/>
    <col min="3077" max="3077" width="79" style="31" customWidth="1"/>
    <col min="3078" max="3078" width="3.83203125" style="31" customWidth="1"/>
    <col min="3079" max="3091" width="12.5" style="31" customWidth="1"/>
    <col min="3092" max="3092" width="8.5" style="31" customWidth="1"/>
    <col min="3093" max="3331" width="10.6640625" style="31"/>
    <col min="3332" max="3332" width="13.1640625" style="31" customWidth="1"/>
    <col min="3333" max="3333" width="79" style="31" customWidth="1"/>
    <col min="3334" max="3334" width="3.83203125" style="31" customWidth="1"/>
    <col min="3335" max="3347" width="12.5" style="31" customWidth="1"/>
    <col min="3348" max="3348" width="8.5" style="31" customWidth="1"/>
    <col min="3349" max="3587" width="10.6640625" style="31"/>
    <col min="3588" max="3588" width="13.1640625" style="31" customWidth="1"/>
    <col min="3589" max="3589" width="79" style="31" customWidth="1"/>
    <col min="3590" max="3590" width="3.83203125" style="31" customWidth="1"/>
    <col min="3591" max="3603" width="12.5" style="31" customWidth="1"/>
    <col min="3604" max="3604" width="8.5" style="31" customWidth="1"/>
    <col min="3605" max="3843" width="10.6640625" style="31"/>
    <col min="3844" max="3844" width="13.1640625" style="31" customWidth="1"/>
    <col min="3845" max="3845" width="79" style="31" customWidth="1"/>
    <col min="3846" max="3846" width="3.83203125" style="31" customWidth="1"/>
    <col min="3847" max="3859" width="12.5" style="31" customWidth="1"/>
    <col min="3860" max="3860" width="8.5" style="31" customWidth="1"/>
    <col min="3861" max="4099" width="10.6640625" style="31"/>
    <col min="4100" max="4100" width="13.1640625" style="31" customWidth="1"/>
    <col min="4101" max="4101" width="79" style="31" customWidth="1"/>
    <col min="4102" max="4102" width="3.83203125" style="31" customWidth="1"/>
    <col min="4103" max="4115" width="12.5" style="31" customWidth="1"/>
    <col min="4116" max="4116" width="8.5" style="31" customWidth="1"/>
    <col min="4117" max="4355" width="10.6640625" style="31"/>
    <col min="4356" max="4356" width="13.1640625" style="31" customWidth="1"/>
    <col min="4357" max="4357" width="79" style="31" customWidth="1"/>
    <col min="4358" max="4358" width="3.83203125" style="31" customWidth="1"/>
    <col min="4359" max="4371" width="12.5" style="31" customWidth="1"/>
    <col min="4372" max="4372" width="8.5" style="31" customWidth="1"/>
    <col min="4373" max="4611" width="10.6640625" style="31"/>
    <col min="4612" max="4612" width="13.1640625" style="31" customWidth="1"/>
    <col min="4613" max="4613" width="79" style="31" customWidth="1"/>
    <col min="4614" max="4614" width="3.83203125" style="31" customWidth="1"/>
    <col min="4615" max="4627" width="12.5" style="31" customWidth="1"/>
    <col min="4628" max="4628" width="8.5" style="31" customWidth="1"/>
    <col min="4629" max="4867" width="10.6640625" style="31"/>
    <col min="4868" max="4868" width="13.1640625" style="31" customWidth="1"/>
    <col min="4869" max="4869" width="79" style="31" customWidth="1"/>
    <col min="4870" max="4870" width="3.83203125" style="31" customWidth="1"/>
    <col min="4871" max="4883" width="12.5" style="31" customWidth="1"/>
    <col min="4884" max="4884" width="8.5" style="31" customWidth="1"/>
    <col min="4885" max="5123" width="10.6640625" style="31"/>
    <col min="5124" max="5124" width="13.1640625" style="31" customWidth="1"/>
    <col min="5125" max="5125" width="79" style="31" customWidth="1"/>
    <col min="5126" max="5126" width="3.83203125" style="31" customWidth="1"/>
    <col min="5127" max="5139" width="12.5" style="31" customWidth="1"/>
    <col min="5140" max="5140" width="8.5" style="31" customWidth="1"/>
    <col min="5141" max="5379" width="10.6640625" style="31"/>
    <col min="5380" max="5380" width="13.1640625" style="31" customWidth="1"/>
    <col min="5381" max="5381" width="79" style="31" customWidth="1"/>
    <col min="5382" max="5382" width="3.83203125" style="31" customWidth="1"/>
    <col min="5383" max="5395" width="12.5" style="31" customWidth="1"/>
    <col min="5396" max="5396" width="8.5" style="31" customWidth="1"/>
    <col min="5397" max="5635" width="10.6640625" style="31"/>
    <col min="5636" max="5636" width="13.1640625" style="31" customWidth="1"/>
    <col min="5637" max="5637" width="79" style="31" customWidth="1"/>
    <col min="5638" max="5638" width="3.83203125" style="31" customWidth="1"/>
    <col min="5639" max="5651" width="12.5" style="31" customWidth="1"/>
    <col min="5652" max="5652" width="8.5" style="31" customWidth="1"/>
    <col min="5653" max="5891" width="10.6640625" style="31"/>
    <col min="5892" max="5892" width="13.1640625" style="31" customWidth="1"/>
    <col min="5893" max="5893" width="79" style="31" customWidth="1"/>
    <col min="5894" max="5894" width="3.83203125" style="31" customWidth="1"/>
    <col min="5895" max="5907" width="12.5" style="31" customWidth="1"/>
    <col min="5908" max="5908" width="8.5" style="31" customWidth="1"/>
    <col min="5909" max="6147" width="10.6640625" style="31"/>
    <col min="6148" max="6148" width="13.1640625" style="31" customWidth="1"/>
    <col min="6149" max="6149" width="79" style="31" customWidth="1"/>
    <col min="6150" max="6150" width="3.83203125" style="31" customWidth="1"/>
    <col min="6151" max="6163" width="12.5" style="31" customWidth="1"/>
    <col min="6164" max="6164" width="8.5" style="31" customWidth="1"/>
    <col min="6165" max="6403" width="10.6640625" style="31"/>
    <col min="6404" max="6404" width="13.1640625" style="31" customWidth="1"/>
    <col min="6405" max="6405" width="79" style="31" customWidth="1"/>
    <col min="6406" max="6406" width="3.83203125" style="31" customWidth="1"/>
    <col min="6407" max="6419" width="12.5" style="31" customWidth="1"/>
    <col min="6420" max="6420" width="8.5" style="31" customWidth="1"/>
    <col min="6421" max="6659" width="10.6640625" style="31"/>
    <col min="6660" max="6660" width="13.1640625" style="31" customWidth="1"/>
    <col min="6661" max="6661" width="79" style="31" customWidth="1"/>
    <col min="6662" max="6662" width="3.83203125" style="31" customWidth="1"/>
    <col min="6663" max="6675" width="12.5" style="31" customWidth="1"/>
    <col min="6676" max="6676" width="8.5" style="31" customWidth="1"/>
    <col min="6677" max="6915" width="10.6640625" style="31"/>
    <col min="6916" max="6916" width="13.1640625" style="31" customWidth="1"/>
    <col min="6917" max="6917" width="79" style="31" customWidth="1"/>
    <col min="6918" max="6918" width="3.83203125" style="31" customWidth="1"/>
    <col min="6919" max="6931" width="12.5" style="31" customWidth="1"/>
    <col min="6932" max="6932" width="8.5" style="31" customWidth="1"/>
    <col min="6933" max="7171" width="10.6640625" style="31"/>
    <col min="7172" max="7172" width="13.1640625" style="31" customWidth="1"/>
    <col min="7173" max="7173" width="79" style="31" customWidth="1"/>
    <col min="7174" max="7174" width="3.83203125" style="31" customWidth="1"/>
    <col min="7175" max="7187" width="12.5" style="31" customWidth="1"/>
    <col min="7188" max="7188" width="8.5" style="31" customWidth="1"/>
    <col min="7189" max="7427" width="10.6640625" style="31"/>
    <col min="7428" max="7428" width="13.1640625" style="31" customWidth="1"/>
    <col min="7429" max="7429" width="79" style="31" customWidth="1"/>
    <col min="7430" max="7430" width="3.83203125" style="31" customWidth="1"/>
    <col min="7431" max="7443" width="12.5" style="31" customWidth="1"/>
    <col min="7444" max="7444" width="8.5" style="31" customWidth="1"/>
    <col min="7445" max="7683" width="10.6640625" style="31"/>
    <col min="7684" max="7684" width="13.1640625" style="31" customWidth="1"/>
    <col min="7685" max="7685" width="79" style="31" customWidth="1"/>
    <col min="7686" max="7686" width="3.83203125" style="31" customWidth="1"/>
    <col min="7687" max="7699" width="12.5" style="31" customWidth="1"/>
    <col min="7700" max="7700" width="8.5" style="31" customWidth="1"/>
    <col min="7701" max="7939" width="10.6640625" style="31"/>
    <col min="7940" max="7940" width="13.1640625" style="31" customWidth="1"/>
    <col min="7941" max="7941" width="79" style="31" customWidth="1"/>
    <col min="7942" max="7942" width="3.83203125" style="31" customWidth="1"/>
    <col min="7943" max="7955" width="12.5" style="31" customWidth="1"/>
    <col min="7956" max="7956" width="8.5" style="31" customWidth="1"/>
    <col min="7957" max="8195" width="10.6640625" style="31"/>
    <col min="8196" max="8196" width="13.1640625" style="31" customWidth="1"/>
    <col min="8197" max="8197" width="79" style="31" customWidth="1"/>
    <col min="8198" max="8198" width="3.83203125" style="31" customWidth="1"/>
    <col min="8199" max="8211" width="12.5" style="31" customWidth="1"/>
    <col min="8212" max="8212" width="8.5" style="31" customWidth="1"/>
    <col min="8213" max="8451" width="10.6640625" style="31"/>
    <col min="8452" max="8452" width="13.1640625" style="31" customWidth="1"/>
    <col min="8453" max="8453" width="79" style="31" customWidth="1"/>
    <col min="8454" max="8454" width="3.83203125" style="31" customWidth="1"/>
    <col min="8455" max="8467" width="12.5" style="31" customWidth="1"/>
    <col min="8468" max="8468" width="8.5" style="31" customWidth="1"/>
    <col min="8469" max="8707" width="10.6640625" style="31"/>
    <col min="8708" max="8708" width="13.1640625" style="31" customWidth="1"/>
    <col min="8709" max="8709" width="79" style="31" customWidth="1"/>
    <col min="8710" max="8710" width="3.83203125" style="31" customWidth="1"/>
    <col min="8711" max="8723" width="12.5" style="31" customWidth="1"/>
    <col min="8724" max="8724" width="8.5" style="31" customWidth="1"/>
    <col min="8725" max="8963" width="10.6640625" style="31"/>
    <col min="8964" max="8964" width="13.1640625" style="31" customWidth="1"/>
    <col min="8965" max="8965" width="79" style="31" customWidth="1"/>
    <col min="8966" max="8966" width="3.83203125" style="31" customWidth="1"/>
    <col min="8967" max="8979" width="12.5" style="31" customWidth="1"/>
    <col min="8980" max="8980" width="8.5" style="31" customWidth="1"/>
    <col min="8981" max="9219" width="10.6640625" style="31"/>
    <col min="9220" max="9220" width="13.1640625" style="31" customWidth="1"/>
    <col min="9221" max="9221" width="79" style="31" customWidth="1"/>
    <col min="9222" max="9222" width="3.83203125" style="31" customWidth="1"/>
    <col min="9223" max="9235" width="12.5" style="31" customWidth="1"/>
    <col min="9236" max="9236" width="8.5" style="31" customWidth="1"/>
    <col min="9237" max="9475" width="10.6640625" style="31"/>
    <col min="9476" max="9476" width="13.1640625" style="31" customWidth="1"/>
    <col min="9477" max="9477" width="79" style="31" customWidth="1"/>
    <col min="9478" max="9478" width="3.83203125" style="31" customWidth="1"/>
    <col min="9479" max="9491" width="12.5" style="31" customWidth="1"/>
    <col min="9492" max="9492" width="8.5" style="31" customWidth="1"/>
    <col min="9493" max="9731" width="10.6640625" style="31"/>
    <col min="9732" max="9732" width="13.1640625" style="31" customWidth="1"/>
    <col min="9733" max="9733" width="79" style="31" customWidth="1"/>
    <col min="9734" max="9734" width="3.83203125" style="31" customWidth="1"/>
    <col min="9735" max="9747" width="12.5" style="31" customWidth="1"/>
    <col min="9748" max="9748" width="8.5" style="31" customWidth="1"/>
    <col min="9749" max="9987" width="10.6640625" style="31"/>
    <col min="9988" max="9988" width="13.1640625" style="31" customWidth="1"/>
    <col min="9989" max="9989" width="79" style="31" customWidth="1"/>
    <col min="9990" max="9990" width="3.83203125" style="31" customWidth="1"/>
    <col min="9991" max="10003" width="12.5" style="31" customWidth="1"/>
    <col min="10004" max="10004" width="8.5" style="31" customWidth="1"/>
    <col min="10005" max="10243" width="10.6640625" style="31"/>
    <col min="10244" max="10244" width="13.1640625" style="31" customWidth="1"/>
    <col min="10245" max="10245" width="79" style="31" customWidth="1"/>
    <col min="10246" max="10246" width="3.83203125" style="31" customWidth="1"/>
    <col min="10247" max="10259" width="12.5" style="31" customWidth="1"/>
    <col min="10260" max="10260" width="8.5" style="31" customWidth="1"/>
    <col min="10261" max="10499" width="10.6640625" style="31"/>
    <col min="10500" max="10500" width="13.1640625" style="31" customWidth="1"/>
    <col min="10501" max="10501" width="79" style="31" customWidth="1"/>
    <col min="10502" max="10502" width="3.83203125" style="31" customWidth="1"/>
    <col min="10503" max="10515" width="12.5" style="31" customWidth="1"/>
    <col min="10516" max="10516" width="8.5" style="31" customWidth="1"/>
    <col min="10517" max="10755" width="10.6640625" style="31"/>
    <col min="10756" max="10756" width="13.1640625" style="31" customWidth="1"/>
    <col min="10757" max="10757" width="79" style="31" customWidth="1"/>
    <col min="10758" max="10758" width="3.83203125" style="31" customWidth="1"/>
    <col min="10759" max="10771" width="12.5" style="31" customWidth="1"/>
    <col min="10772" max="10772" width="8.5" style="31" customWidth="1"/>
    <col min="10773" max="11011" width="10.6640625" style="31"/>
    <col min="11012" max="11012" width="13.1640625" style="31" customWidth="1"/>
    <col min="11013" max="11013" width="79" style="31" customWidth="1"/>
    <col min="11014" max="11014" width="3.83203125" style="31" customWidth="1"/>
    <col min="11015" max="11027" width="12.5" style="31" customWidth="1"/>
    <col min="11028" max="11028" width="8.5" style="31" customWidth="1"/>
    <col min="11029" max="11267" width="10.6640625" style="31"/>
    <col min="11268" max="11268" width="13.1640625" style="31" customWidth="1"/>
    <col min="11269" max="11269" width="79" style="31" customWidth="1"/>
    <col min="11270" max="11270" width="3.83203125" style="31" customWidth="1"/>
    <col min="11271" max="11283" width="12.5" style="31" customWidth="1"/>
    <col min="11284" max="11284" width="8.5" style="31" customWidth="1"/>
    <col min="11285" max="11523" width="10.6640625" style="31"/>
    <col min="11524" max="11524" width="13.1640625" style="31" customWidth="1"/>
    <col min="11525" max="11525" width="79" style="31" customWidth="1"/>
    <col min="11526" max="11526" width="3.83203125" style="31" customWidth="1"/>
    <col min="11527" max="11539" width="12.5" style="31" customWidth="1"/>
    <col min="11540" max="11540" width="8.5" style="31" customWidth="1"/>
    <col min="11541" max="11779" width="10.6640625" style="31"/>
    <col min="11780" max="11780" width="13.1640625" style="31" customWidth="1"/>
    <col min="11781" max="11781" width="79" style="31" customWidth="1"/>
    <col min="11782" max="11782" width="3.83203125" style="31" customWidth="1"/>
    <col min="11783" max="11795" width="12.5" style="31" customWidth="1"/>
    <col min="11796" max="11796" width="8.5" style="31" customWidth="1"/>
    <col min="11797" max="12035" width="10.6640625" style="31"/>
    <col min="12036" max="12036" width="13.1640625" style="31" customWidth="1"/>
    <col min="12037" max="12037" width="79" style="31" customWidth="1"/>
    <col min="12038" max="12038" width="3.83203125" style="31" customWidth="1"/>
    <col min="12039" max="12051" width="12.5" style="31" customWidth="1"/>
    <col min="12052" max="12052" width="8.5" style="31" customWidth="1"/>
    <col min="12053" max="12291" width="10.6640625" style="31"/>
    <col min="12292" max="12292" width="13.1640625" style="31" customWidth="1"/>
    <col min="12293" max="12293" width="79" style="31" customWidth="1"/>
    <col min="12294" max="12294" width="3.83203125" style="31" customWidth="1"/>
    <col min="12295" max="12307" width="12.5" style="31" customWidth="1"/>
    <col min="12308" max="12308" width="8.5" style="31" customWidth="1"/>
    <col min="12309" max="12547" width="10.6640625" style="31"/>
    <col min="12548" max="12548" width="13.1640625" style="31" customWidth="1"/>
    <col min="12549" max="12549" width="79" style="31" customWidth="1"/>
    <col min="12550" max="12550" width="3.83203125" style="31" customWidth="1"/>
    <col min="12551" max="12563" width="12.5" style="31" customWidth="1"/>
    <col min="12564" max="12564" width="8.5" style="31" customWidth="1"/>
    <col min="12565" max="12803" width="10.6640625" style="31"/>
    <col min="12804" max="12804" width="13.1640625" style="31" customWidth="1"/>
    <col min="12805" max="12805" width="79" style="31" customWidth="1"/>
    <col min="12806" max="12806" width="3.83203125" style="31" customWidth="1"/>
    <col min="12807" max="12819" width="12.5" style="31" customWidth="1"/>
    <col min="12820" max="12820" width="8.5" style="31" customWidth="1"/>
    <col min="12821" max="13059" width="10.6640625" style="31"/>
    <col min="13060" max="13060" width="13.1640625" style="31" customWidth="1"/>
    <col min="13061" max="13061" width="79" style="31" customWidth="1"/>
    <col min="13062" max="13062" width="3.83203125" style="31" customWidth="1"/>
    <col min="13063" max="13075" width="12.5" style="31" customWidth="1"/>
    <col min="13076" max="13076" width="8.5" style="31" customWidth="1"/>
    <col min="13077" max="13315" width="10.6640625" style="31"/>
    <col min="13316" max="13316" width="13.1640625" style="31" customWidth="1"/>
    <col min="13317" max="13317" width="79" style="31" customWidth="1"/>
    <col min="13318" max="13318" width="3.83203125" style="31" customWidth="1"/>
    <col min="13319" max="13331" width="12.5" style="31" customWidth="1"/>
    <col min="13332" max="13332" width="8.5" style="31" customWidth="1"/>
    <col min="13333" max="13571" width="10.6640625" style="31"/>
    <col min="13572" max="13572" width="13.1640625" style="31" customWidth="1"/>
    <col min="13573" max="13573" width="79" style="31" customWidth="1"/>
    <col min="13574" max="13574" width="3.83203125" style="31" customWidth="1"/>
    <col min="13575" max="13587" width="12.5" style="31" customWidth="1"/>
    <col min="13588" max="13588" width="8.5" style="31" customWidth="1"/>
    <col min="13589" max="13827" width="10.6640625" style="31"/>
    <col min="13828" max="13828" width="13.1640625" style="31" customWidth="1"/>
    <col min="13829" max="13829" width="79" style="31" customWidth="1"/>
    <col min="13830" max="13830" width="3.83203125" style="31" customWidth="1"/>
    <col min="13831" max="13843" width="12.5" style="31" customWidth="1"/>
    <col min="13844" max="13844" width="8.5" style="31" customWidth="1"/>
    <col min="13845" max="14083" width="10.6640625" style="31"/>
    <col min="14084" max="14084" width="13.1640625" style="31" customWidth="1"/>
    <col min="14085" max="14085" width="79" style="31" customWidth="1"/>
    <col min="14086" max="14086" width="3.83203125" style="31" customWidth="1"/>
    <col min="14087" max="14099" width="12.5" style="31" customWidth="1"/>
    <col min="14100" max="14100" width="8.5" style="31" customWidth="1"/>
    <col min="14101" max="14339" width="10.6640625" style="31"/>
    <col min="14340" max="14340" width="13.1640625" style="31" customWidth="1"/>
    <col min="14341" max="14341" width="79" style="31" customWidth="1"/>
    <col min="14342" max="14342" width="3.83203125" style="31" customWidth="1"/>
    <col min="14343" max="14355" width="12.5" style="31" customWidth="1"/>
    <col min="14356" max="14356" width="8.5" style="31" customWidth="1"/>
    <col min="14357" max="14595" width="10.6640625" style="31"/>
    <col min="14596" max="14596" width="13.1640625" style="31" customWidth="1"/>
    <col min="14597" max="14597" width="79" style="31" customWidth="1"/>
    <col min="14598" max="14598" width="3.83203125" style="31" customWidth="1"/>
    <col min="14599" max="14611" width="12.5" style="31" customWidth="1"/>
    <col min="14612" max="14612" width="8.5" style="31" customWidth="1"/>
    <col min="14613" max="14851" width="10.6640625" style="31"/>
    <col min="14852" max="14852" width="13.1640625" style="31" customWidth="1"/>
    <col min="14853" max="14853" width="79" style="31" customWidth="1"/>
    <col min="14854" max="14854" width="3.83203125" style="31" customWidth="1"/>
    <col min="14855" max="14867" width="12.5" style="31" customWidth="1"/>
    <col min="14868" max="14868" width="8.5" style="31" customWidth="1"/>
    <col min="14869" max="15107" width="10.6640625" style="31"/>
    <col min="15108" max="15108" width="13.1640625" style="31" customWidth="1"/>
    <col min="15109" max="15109" width="79" style="31" customWidth="1"/>
    <col min="15110" max="15110" width="3.83203125" style="31" customWidth="1"/>
    <col min="15111" max="15123" width="12.5" style="31" customWidth="1"/>
    <col min="15124" max="15124" width="8.5" style="31" customWidth="1"/>
    <col min="15125" max="15363" width="10.6640625" style="31"/>
    <col min="15364" max="15364" width="13.1640625" style="31" customWidth="1"/>
    <col min="15365" max="15365" width="79" style="31" customWidth="1"/>
    <col min="15366" max="15366" width="3.83203125" style="31" customWidth="1"/>
    <col min="15367" max="15379" width="12.5" style="31" customWidth="1"/>
    <col min="15380" max="15380" width="8.5" style="31" customWidth="1"/>
    <col min="15381" max="15619" width="10.6640625" style="31"/>
    <col min="15620" max="15620" width="13.1640625" style="31" customWidth="1"/>
    <col min="15621" max="15621" width="79" style="31" customWidth="1"/>
    <col min="15622" max="15622" width="3.83203125" style="31" customWidth="1"/>
    <col min="15623" max="15635" width="12.5" style="31" customWidth="1"/>
    <col min="15636" max="15636" width="8.5" style="31" customWidth="1"/>
    <col min="15637" max="15875" width="10.6640625" style="31"/>
    <col min="15876" max="15876" width="13.1640625" style="31" customWidth="1"/>
    <col min="15877" max="15877" width="79" style="31" customWidth="1"/>
    <col min="15878" max="15878" width="3.83203125" style="31" customWidth="1"/>
    <col min="15879" max="15891" width="12.5" style="31" customWidth="1"/>
    <col min="15892" max="15892" width="8.5" style="31" customWidth="1"/>
    <col min="15893" max="16131" width="10.6640625" style="31"/>
    <col min="16132" max="16132" width="13.1640625" style="31" customWidth="1"/>
    <col min="16133" max="16133" width="79" style="31" customWidth="1"/>
    <col min="16134" max="16134" width="3.83203125" style="31" customWidth="1"/>
    <col min="16135" max="16147" width="12.5" style="31" customWidth="1"/>
    <col min="16148" max="16148" width="8.5" style="31" customWidth="1"/>
    <col min="16149" max="16384" width="10.6640625" style="31"/>
  </cols>
  <sheetData>
    <row r="1" spans="1:24" ht="26.25" x14ac:dyDescent="0.3">
      <c r="A1" s="82"/>
      <c r="B1" s="83" t="s">
        <v>1899</v>
      </c>
      <c r="C1" s="516" t="s">
        <v>863</v>
      </c>
      <c r="D1" s="516"/>
      <c r="E1" s="84"/>
      <c r="F1" s="517"/>
      <c r="G1" s="517"/>
      <c r="H1" s="518"/>
      <c r="I1" s="518"/>
      <c r="J1" s="518"/>
      <c r="K1" s="85" t="s">
        <v>816</v>
      </c>
      <c r="L1" s="518"/>
      <c r="M1" s="518"/>
      <c r="N1" s="519"/>
      <c r="O1" s="519"/>
      <c r="P1" s="518"/>
      <c r="Q1" s="518"/>
      <c r="R1" s="518"/>
      <c r="S1" s="518"/>
      <c r="T1" s="520"/>
      <c r="U1" s="521"/>
      <c r="V1" s="521"/>
      <c r="W1" s="521"/>
      <c r="X1" s="521"/>
    </row>
    <row r="2" spans="1:24" x14ac:dyDescent="0.2">
      <c r="A2" s="82"/>
      <c r="B2" s="86" t="s">
        <v>183</v>
      </c>
      <c r="C2" s="87"/>
      <c r="D2" s="88"/>
      <c r="E2" s="88"/>
      <c r="F2" s="89" t="s">
        <v>184</v>
      </c>
      <c r="G2" s="90"/>
      <c r="H2" s="91" t="s">
        <v>864</v>
      </c>
      <c r="I2" s="92"/>
      <c r="J2" s="91" t="s">
        <v>865</v>
      </c>
      <c r="K2" s="92"/>
      <c r="L2" s="91" t="s">
        <v>866</v>
      </c>
      <c r="M2" s="93"/>
      <c r="N2" s="91" t="s">
        <v>924</v>
      </c>
      <c r="O2" s="92"/>
      <c r="P2" s="95" t="s">
        <v>925</v>
      </c>
      <c r="Q2" s="96"/>
      <c r="R2" s="96"/>
      <c r="S2" s="97"/>
      <c r="T2" s="98">
        <f>IF(S4=0,0,S2/S4)</f>
        <v>0</v>
      </c>
      <c r="U2" s="521"/>
      <c r="V2" s="521"/>
      <c r="W2" s="521"/>
      <c r="X2" s="521"/>
    </row>
    <row r="3" spans="1:24" ht="15" customHeight="1" thickBot="1" x14ac:dyDescent="0.25">
      <c r="A3" s="82"/>
      <c r="B3" s="99" t="s">
        <v>827</v>
      </c>
      <c r="C3" s="100"/>
      <c r="D3" s="101"/>
      <c r="E3" s="102"/>
      <c r="F3" s="103" t="s">
        <v>185</v>
      </c>
      <c r="G3" s="104"/>
      <c r="H3" s="105" t="s">
        <v>868</v>
      </c>
      <c r="I3" s="106">
        <f ca="1">TODAY()</f>
        <v>44763</v>
      </c>
      <c r="J3" s="105" t="s">
        <v>869</v>
      </c>
      <c r="K3" s="107">
        <f>80-10</f>
        <v>70</v>
      </c>
      <c r="L3" s="105" t="s">
        <v>868</v>
      </c>
      <c r="M3" s="108">
        <f ca="1">I3+K3+10</f>
        <v>44843</v>
      </c>
      <c r="N3" s="105" t="s">
        <v>926</v>
      </c>
      <c r="O3" s="205"/>
      <c r="P3" s="110" t="s">
        <v>870</v>
      </c>
      <c r="Q3" s="111"/>
      <c r="R3" s="112"/>
      <c r="S3" s="113"/>
      <c r="T3" s="114">
        <f>IF(S3=0,0,1-T2)</f>
        <v>0</v>
      </c>
      <c r="U3" s="521"/>
      <c r="V3" s="521"/>
      <c r="W3" s="521"/>
      <c r="X3" s="521"/>
    </row>
    <row r="4" spans="1:24" ht="18.75" thickBot="1" x14ac:dyDescent="0.3">
      <c r="A4" s="82"/>
      <c r="B4" s="115" t="s">
        <v>871</v>
      </c>
      <c r="C4" s="116"/>
      <c r="D4" s="117"/>
      <c r="E4" s="118" t="s">
        <v>872</v>
      </c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20" t="s">
        <v>873</v>
      </c>
      <c r="Q4" s="121"/>
      <c r="R4" s="121"/>
      <c r="S4" s="122">
        <f>SUM(S2:S3)</f>
        <v>0</v>
      </c>
      <c r="T4" s="123">
        <f>SUM(T2:T3)</f>
        <v>0</v>
      </c>
      <c r="U4" s="521"/>
      <c r="V4" s="521"/>
      <c r="W4" s="521"/>
      <c r="X4" s="521"/>
    </row>
    <row r="5" spans="1:24" ht="12.75" customHeight="1" thickBot="1" x14ac:dyDescent="0.25">
      <c r="A5" s="82"/>
      <c r="B5" s="522" t="s">
        <v>874</v>
      </c>
      <c r="C5" s="523" t="s">
        <v>875</v>
      </c>
      <c r="D5" s="524"/>
      <c r="E5" s="525" t="s">
        <v>80</v>
      </c>
      <c r="F5" s="526" t="s">
        <v>876</v>
      </c>
      <c r="G5" s="527"/>
      <c r="H5" s="527"/>
      <c r="I5" s="527"/>
      <c r="J5" s="527"/>
      <c r="K5" s="527"/>
      <c r="L5" s="527"/>
      <c r="M5" s="528"/>
      <c r="N5" s="528"/>
      <c r="O5" s="528"/>
      <c r="P5" s="529"/>
      <c r="Q5" s="530"/>
      <c r="R5" s="531"/>
      <c r="S5" s="532" t="s">
        <v>517</v>
      </c>
      <c r="T5" s="533" t="s">
        <v>877</v>
      </c>
      <c r="U5" s="521"/>
      <c r="V5" s="521"/>
      <c r="W5" s="521" t="s">
        <v>878</v>
      </c>
      <c r="X5" s="124" t="str">
        <f>IF(S4=S51,"OK","erro")</f>
        <v>OK</v>
      </c>
    </row>
    <row r="6" spans="1:24" ht="13.5" thickBot="1" x14ac:dyDescent="0.25">
      <c r="A6" s="82"/>
      <c r="B6" s="534" t="s">
        <v>879</v>
      </c>
      <c r="C6" s="535"/>
      <c r="D6" s="536"/>
      <c r="E6" s="125">
        <v>6</v>
      </c>
      <c r="F6" s="537">
        <f>IF(E6=0,0,1)</f>
        <v>1</v>
      </c>
      <c r="G6" s="537">
        <f>IF($E$6&lt;2,0,2)</f>
        <v>2</v>
      </c>
      <c r="H6" s="537">
        <f>IF($E$6&lt;3,0,3)</f>
        <v>3</v>
      </c>
      <c r="I6" s="537">
        <f>IF($E$6&lt;4,0,4)</f>
        <v>4</v>
      </c>
      <c r="J6" s="537">
        <f>IF($E$6&lt;5,0,5)</f>
        <v>5</v>
      </c>
      <c r="K6" s="537">
        <f>IF($E$6&lt;6,0,6)</f>
        <v>6</v>
      </c>
      <c r="L6" s="537">
        <f>IF($E$6&lt;7,0,7)</f>
        <v>0</v>
      </c>
      <c r="M6" s="537">
        <f>IF($E$6&lt;8,0,8)</f>
        <v>0</v>
      </c>
      <c r="N6" s="537">
        <f>IF($E$6&lt;9,0,9)</f>
        <v>0</v>
      </c>
      <c r="O6" s="537">
        <f>IF($E$6&lt;10,0,10)</f>
        <v>0</v>
      </c>
      <c r="P6" s="537">
        <f>IF($E$6&lt;11,0,11)</f>
        <v>0</v>
      </c>
      <c r="Q6" s="538">
        <f>IF($E$6&lt;12,0,12)</f>
        <v>0</v>
      </c>
      <c r="R6" s="539"/>
      <c r="S6" s="540" t="s">
        <v>880</v>
      </c>
      <c r="T6" s="541" t="s">
        <v>517</v>
      </c>
      <c r="U6" s="521"/>
      <c r="V6" s="521"/>
      <c r="W6" s="521"/>
      <c r="X6" s="521"/>
    </row>
    <row r="7" spans="1:24" ht="14.25" thickTop="1" thickBot="1" x14ac:dyDescent="0.25">
      <c r="A7" s="82"/>
      <c r="B7" s="534"/>
      <c r="C7" s="535" t="s">
        <v>881</v>
      </c>
      <c r="D7" s="536"/>
      <c r="E7" s="542"/>
      <c r="F7" s="543">
        <f ca="1">IF(E6=0,0,M3)</f>
        <v>44843</v>
      </c>
      <c r="G7" s="543">
        <f ca="1">IF(G6=0,0,F8+1)</f>
        <v>44874</v>
      </c>
      <c r="H7" s="543">
        <f ca="1">IF(H6=0,0,G8+1)</f>
        <v>44905</v>
      </c>
      <c r="I7" s="543">
        <f ca="1">IF(I6=0,0,H8+1)</f>
        <v>44936</v>
      </c>
      <c r="J7" s="543">
        <f ca="1">IF(J6=0,0,I8+1)</f>
        <v>44967</v>
      </c>
      <c r="K7" s="543">
        <f t="shared" ref="K7:Q7" ca="1" si="0">IF(K6=0,0,J8+1)</f>
        <v>44998</v>
      </c>
      <c r="L7" s="543">
        <f t="shared" si="0"/>
        <v>0</v>
      </c>
      <c r="M7" s="543">
        <f t="shared" si="0"/>
        <v>0</v>
      </c>
      <c r="N7" s="543">
        <f t="shared" si="0"/>
        <v>0</v>
      </c>
      <c r="O7" s="543">
        <f t="shared" si="0"/>
        <v>0</v>
      </c>
      <c r="P7" s="543">
        <f t="shared" si="0"/>
        <v>0</v>
      </c>
      <c r="Q7" s="544">
        <f t="shared" si="0"/>
        <v>0</v>
      </c>
      <c r="R7" s="545"/>
      <c r="S7" s="540"/>
      <c r="T7" s="541"/>
      <c r="U7" s="521"/>
      <c r="V7" s="521"/>
      <c r="W7" s="521"/>
      <c r="X7" s="521"/>
    </row>
    <row r="8" spans="1:24" ht="14.25" thickTop="1" thickBot="1" x14ac:dyDescent="0.25">
      <c r="A8" s="82"/>
      <c r="B8" s="534"/>
      <c r="C8" s="535" t="s">
        <v>882</v>
      </c>
      <c r="D8" s="536"/>
      <c r="E8" s="542"/>
      <c r="F8" s="543">
        <f ca="1">IF(E6=0,0,F7+30)</f>
        <v>44873</v>
      </c>
      <c r="G8" s="543">
        <f t="shared" ref="G8:I8" ca="1" si="1">IF(G6=0,0,G7+30)</f>
        <v>44904</v>
      </c>
      <c r="H8" s="543">
        <f t="shared" ca="1" si="1"/>
        <v>44935</v>
      </c>
      <c r="I8" s="543">
        <f t="shared" ca="1" si="1"/>
        <v>44966</v>
      </c>
      <c r="J8" s="543">
        <f ca="1">IF(J6=0,0,J7+30)</f>
        <v>44997</v>
      </c>
      <c r="K8" s="543">
        <f t="shared" ref="K8:Q8" ca="1" si="2">IF(K6=0,0,K7+30)</f>
        <v>45028</v>
      </c>
      <c r="L8" s="543">
        <f t="shared" si="2"/>
        <v>0</v>
      </c>
      <c r="M8" s="543">
        <f t="shared" si="2"/>
        <v>0</v>
      </c>
      <c r="N8" s="543">
        <f t="shared" si="2"/>
        <v>0</v>
      </c>
      <c r="O8" s="543">
        <f t="shared" si="2"/>
        <v>0</v>
      </c>
      <c r="P8" s="543">
        <f t="shared" si="2"/>
        <v>0</v>
      </c>
      <c r="Q8" s="544">
        <f t="shared" si="2"/>
        <v>0</v>
      </c>
      <c r="R8" s="545"/>
      <c r="S8" s="540"/>
      <c r="T8" s="541"/>
      <c r="U8" s="521"/>
      <c r="V8" s="521"/>
      <c r="W8" s="521"/>
      <c r="X8" s="521"/>
    </row>
    <row r="9" spans="1:24" ht="13.5" thickTop="1" x14ac:dyDescent="0.2">
      <c r="A9" s="126" t="str">
        <f>CONCATENATE($E$6,"|",B9)</f>
        <v>6|1</v>
      </c>
      <c r="B9" s="546">
        <v>1</v>
      </c>
      <c r="C9" s="547" t="s">
        <v>477</v>
      </c>
      <c r="D9" s="548"/>
      <c r="E9" s="549">
        <v>1</v>
      </c>
      <c r="F9" s="550">
        <f>IF(E$6&lt;3,0,IF(F$6=0,0,VLOOKUP($A9,'base (2)'!$A:$P,F$6+4,FALSE)))</f>
        <v>20</v>
      </c>
      <c r="G9" s="550">
        <f>IF(E$6&lt;3,0,IF(G$6=0,0,VLOOKUP($A9,'base (2)'!$A:$P,G$6+4,FALSE)))</f>
        <v>30</v>
      </c>
      <c r="H9" s="550">
        <f>IF(H$6=0,0,VLOOKUP($A9,'base (2)'!$A:$P,H$6+4,FALSE))</f>
        <v>30</v>
      </c>
      <c r="I9" s="550">
        <f>IF(I$6=0,0,VLOOKUP($A9,'base (2)'!$A:$P,I$6+4,FALSE))</f>
        <v>20</v>
      </c>
      <c r="J9" s="550">
        <f>IF(J$6=0,0,VLOOKUP($A9,'base (2)'!$A:$P,J$6+4,FALSE))</f>
        <v>0</v>
      </c>
      <c r="K9" s="550">
        <f>IF(K$6=0,0,VLOOKUP($A9,'base (2)'!$A:$P,K$6+4,FALSE))</f>
        <v>0</v>
      </c>
      <c r="L9" s="550">
        <f>IF(L$6=0,0,VLOOKUP($A9,'base (2)'!$A:$P,L$6+4,FALSE))</f>
        <v>0</v>
      </c>
      <c r="M9" s="550">
        <f>IF(M$6=0,0,VLOOKUP($A9,'base (2)'!$A:$P,M$6+4,FALSE))</f>
        <v>0</v>
      </c>
      <c r="N9" s="550">
        <f>IF(N$6=0,0,VLOOKUP($A9,'base (2)'!$A:$P,N$6+4,FALSE))</f>
        <v>0</v>
      </c>
      <c r="O9" s="550">
        <f>IF(O$6=0,0,VLOOKUP($A9,'base (2)'!$A:$P,O$6+4,FALSE))</f>
        <v>0</v>
      </c>
      <c r="P9" s="550">
        <f>IF(P$6=0,0,VLOOKUP($A9,'base (2)'!$A:$P,P$6+4,FALSE))</f>
        <v>0</v>
      </c>
      <c r="Q9" s="551">
        <f>IF(Q$6=0,0,VLOOKUP($A9,'base (2)'!$A:$P,Q$6+4,FALSE))</f>
        <v>0</v>
      </c>
      <c r="R9" s="552"/>
      <c r="S9" s="553"/>
      <c r="T9" s="554">
        <f t="shared" ref="T9:T19" si="3">IF($S$21=0,0,(S9/$S$21)*100)</f>
        <v>0</v>
      </c>
      <c r="U9" s="521"/>
      <c r="V9" s="521"/>
      <c r="W9" s="555">
        <f t="shared" ref="W9:W19" si="4">SUM(F9:Q9)</f>
        <v>100</v>
      </c>
      <c r="X9" s="521"/>
    </row>
    <row r="10" spans="1:24" x14ac:dyDescent="0.2">
      <c r="A10" s="126" t="str">
        <f t="shared" ref="A10:A19" si="5">CONCATENATE($E$6,"|",B10)</f>
        <v>6|2</v>
      </c>
      <c r="B10" s="556" t="s">
        <v>190</v>
      </c>
      <c r="C10" s="547" t="s">
        <v>473</v>
      </c>
      <c r="D10" s="548"/>
      <c r="E10" s="549">
        <v>2</v>
      </c>
      <c r="F10" s="550">
        <f>IF(E$6&lt;3,0,IF(F$6=0,0,VLOOKUP($A10,'base (2)'!$A:$P,F$6+4,FALSE)))</f>
        <v>15</v>
      </c>
      <c r="G10" s="550">
        <f>IF(E$6&lt;3,0,IF(G$6=0,0,VLOOKUP($A10,'base (2)'!$A:$P,G$6+4,FALSE)))</f>
        <v>25</v>
      </c>
      <c r="H10" s="550">
        <f>IF(H$6=0,0,VLOOKUP($A10,'base (2)'!$A:$P,H$6+4,FALSE))</f>
        <v>30</v>
      </c>
      <c r="I10" s="550">
        <f>IF(I$6=0,0,VLOOKUP($A10,'base (2)'!$A:$P,I$6+4,FALSE))</f>
        <v>25</v>
      </c>
      <c r="J10" s="550">
        <f>IF(J$6=0,0,VLOOKUP($A10,'base (2)'!$A:$P,J$6+4,FALSE))</f>
        <v>5</v>
      </c>
      <c r="K10" s="550">
        <f>IF(K$6=0,0,VLOOKUP($A10,'base (2)'!$A:$P,K$6+4,FALSE))</f>
        <v>0</v>
      </c>
      <c r="L10" s="550">
        <f>IF(L$6=0,0,VLOOKUP($A10,'base (2)'!$A:$P,L$6+4,FALSE))</f>
        <v>0</v>
      </c>
      <c r="M10" s="550">
        <f>IF(M$6=0,0,VLOOKUP($A10,'base (2)'!$A:$P,M$6+4,FALSE))</f>
        <v>0</v>
      </c>
      <c r="N10" s="550">
        <f>IF(N$6=0,0,VLOOKUP($A10,'base (2)'!$A:$P,N$6+4,FALSE))</f>
        <v>0</v>
      </c>
      <c r="O10" s="550">
        <f>IF(O$6=0,0,VLOOKUP($A10,'base (2)'!$A:$P,O$6+4,FALSE))</f>
        <v>0</v>
      </c>
      <c r="P10" s="550">
        <f>IF(P$6=0,0,VLOOKUP($A10,'base (2)'!$A:$P,P$6+4,FALSE))</f>
        <v>0</v>
      </c>
      <c r="Q10" s="551">
        <f>IF(Q$6=0,0,VLOOKUP($A10,'base (2)'!$A:$P,Q$6+4,FALSE))</f>
        <v>0</v>
      </c>
      <c r="R10" s="552"/>
      <c r="S10" s="553"/>
      <c r="T10" s="554">
        <f t="shared" si="3"/>
        <v>0</v>
      </c>
      <c r="U10" s="521"/>
      <c r="V10" s="521"/>
      <c r="W10" s="555">
        <f t="shared" si="4"/>
        <v>100</v>
      </c>
      <c r="X10" s="521"/>
    </row>
    <row r="11" spans="1:24" x14ac:dyDescent="0.2">
      <c r="A11" s="126" t="str">
        <f t="shared" si="5"/>
        <v>6|3</v>
      </c>
      <c r="B11" s="556" t="s">
        <v>208</v>
      </c>
      <c r="C11" s="547" t="s">
        <v>479</v>
      </c>
      <c r="D11" s="548"/>
      <c r="E11" s="549">
        <v>3</v>
      </c>
      <c r="F11" s="550">
        <f>IF(E$6&lt;3,0,IF(F$6=0,0,VLOOKUP($A11,'base (2)'!$A:$P,F$6+4,FALSE)))</f>
        <v>5</v>
      </c>
      <c r="G11" s="550">
        <f>IF(E$6&lt;3,0,IF(G$6=0,0,VLOOKUP($A11,'base (2)'!$A:$P,G$6+4,FALSE)))</f>
        <v>20</v>
      </c>
      <c r="H11" s="550">
        <f>IF(H$6=0,0,VLOOKUP($A11,'base (2)'!$A:$P,H$6+4,FALSE))</f>
        <v>30</v>
      </c>
      <c r="I11" s="550">
        <f>IF(I$6=0,0,VLOOKUP($A11,'base (2)'!$A:$P,I$6+4,FALSE))</f>
        <v>25</v>
      </c>
      <c r="J11" s="550">
        <f>IF(J$6=0,0,VLOOKUP($A11,'base (2)'!$A:$P,J$6+4,FALSE))</f>
        <v>20</v>
      </c>
      <c r="K11" s="550">
        <f>IF(K$6=0,0,VLOOKUP($A11,'base (2)'!$A:$P,K$6+4,FALSE))</f>
        <v>0</v>
      </c>
      <c r="L11" s="550">
        <f>IF(L$6=0,0,VLOOKUP($A11,'base (2)'!$A:$P,L$6+4,FALSE))</f>
        <v>0</v>
      </c>
      <c r="M11" s="550">
        <f>IF(M$6=0,0,VLOOKUP($A11,'base (2)'!$A:$P,M$6+4,FALSE))</f>
        <v>0</v>
      </c>
      <c r="N11" s="550">
        <f>IF(N$6=0,0,VLOOKUP($A11,'base (2)'!$A:$P,N$6+4,FALSE))</f>
        <v>0</v>
      </c>
      <c r="O11" s="550">
        <f>IF(O$6=0,0,VLOOKUP($A11,'base (2)'!$A:$P,O$6+4,FALSE))</f>
        <v>0</v>
      </c>
      <c r="P11" s="550">
        <f>IF(P$6=0,0,VLOOKUP($A11,'base (2)'!$A:$P,P$6+4,FALSE))</f>
        <v>0</v>
      </c>
      <c r="Q11" s="551">
        <f>IF(Q$6=0,0,VLOOKUP($A11,'base (2)'!$A:$P,Q$6+4,FALSE))</f>
        <v>0</v>
      </c>
      <c r="R11" s="552"/>
      <c r="S11" s="553"/>
      <c r="T11" s="554">
        <f t="shared" si="3"/>
        <v>0</v>
      </c>
      <c r="U11" s="521"/>
      <c r="V11" s="521"/>
      <c r="W11" s="555">
        <f t="shared" si="4"/>
        <v>100</v>
      </c>
      <c r="X11" s="521"/>
    </row>
    <row r="12" spans="1:24" x14ac:dyDescent="0.2">
      <c r="A12" s="126" t="str">
        <f t="shared" si="5"/>
        <v>6|4</v>
      </c>
      <c r="B12" s="556" t="s">
        <v>226</v>
      </c>
      <c r="C12" s="547" t="s">
        <v>474</v>
      </c>
      <c r="D12" s="548"/>
      <c r="E12" s="549">
        <v>4</v>
      </c>
      <c r="F12" s="550">
        <f>IF(E$6&lt;3,0,IF(F$6=0,0,VLOOKUP($A12,'base (2)'!$A:$P,F$6+4,FALSE)))</f>
        <v>0</v>
      </c>
      <c r="G12" s="550">
        <f>IF(E$6&lt;3,0,IF(G$6=0,0,VLOOKUP($A12,'base (2)'!$A:$P,G$6+4,FALSE)))</f>
        <v>5</v>
      </c>
      <c r="H12" s="550">
        <f>IF(H$6=0,0,VLOOKUP($A12,'base (2)'!$A:$P,H$6+4,FALSE))</f>
        <v>20</v>
      </c>
      <c r="I12" s="550">
        <f>IF(I$6=0,0,VLOOKUP($A12,'base (2)'!$A:$P,I$6+4,FALSE))</f>
        <v>30</v>
      </c>
      <c r="J12" s="550">
        <f>IF(J$6=0,0,VLOOKUP($A12,'base (2)'!$A:$P,J$6+4,FALSE))</f>
        <v>25</v>
      </c>
      <c r="K12" s="550">
        <f>IF(K$6=0,0,VLOOKUP($A12,'base (2)'!$A:$P,K$6+4,FALSE))</f>
        <v>20</v>
      </c>
      <c r="L12" s="550">
        <f>IF(L$6=0,0,VLOOKUP($A12,'base (2)'!$A:$P,L$6+4,FALSE))</f>
        <v>0</v>
      </c>
      <c r="M12" s="550">
        <f>IF(M$6=0,0,VLOOKUP($A12,'base (2)'!$A:$P,M$6+4,FALSE))</f>
        <v>0</v>
      </c>
      <c r="N12" s="550">
        <f>IF(N$6=0,0,VLOOKUP($A12,'base (2)'!$A:$P,N$6+4,FALSE))</f>
        <v>0</v>
      </c>
      <c r="O12" s="550">
        <f>IF(O$6=0,0,VLOOKUP($A12,'base (2)'!$A:$P,O$6+4,FALSE))</f>
        <v>0</v>
      </c>
      <c r="P12" s="550">
        <f>IF(P$6=0,0,VLOOKUP($A12,'base (2)'!$A:$P,P$6+4,FALSE))</f>
        <v>0</v>
      </c>
      <c r="Q12" s="551">
        <f>IF(Q$6=0,0,VLOOKUP($A12,'base (2)'!$A:$P,Q$6+4,FALSE))</f>
        <v>0</v>
      </c>
      <c r="R12" s="552"/>
      <c r="S12" s="553"/>
      <c r="T12" s="554">
        <f t="shared" si="3"/>
        <v>0</v>
      </c>
      <c r="U12" s="521"/>
      <c r="V12" s="521"/>
      <c r="W12" s="555">
        <f t="shared" si="4"/>
        <v>100</v>
      </c>
      <c r="X12" s="521"/>
    </row>
    <row r="13" spans="1:24" x14ac:dyDescent="0.2">
      <c r="A13" s="126" t="str">
        <f t="shared" si="5"/>
        <v>6|5</v>
      </c>
      <c r="B13" s="556" t="s">
        <v>189</v>
      </c>
      <c r="C13" s="547" t="s">
        <v>475</v>
      </c>
      <c r="D13" s="548"/>
      <c r="E13" s="549">
        <v>5</v>
      </c>
      <c r="F13" s="550">
        <f>IF(E$6&lt;3,0,IF(F$6=0,0,VLOOKUP($A13,'base (2)'!$A:$P,F$6+4,FALSE)))</f>
        <v>0</v>
      </c>
      <c r="G13" s="550">
        <f>IF(E$6&lt;3,0,IF(G$6=0,0,VLOOKUP($A13,'base (2)'!$A:$P,G$6+4,FALSE)))</f>
        <v>15</v>
      </c>
      <c r="H13" s="550">
        <f>IF(H$6=0,0,VLOOKUP($A13,'base (2)'!$A:$P,H$6+4,FALSE))</f>
        <v>30</v>
      </c>
      <c r="I13" s="550">
        <f>IF(I$6=0,0,VLOOKUP($A13,'base (2)'!$A:$P,I$6+4,FALSE))</f>
        <v>30</v>
      </c>
      <c r="J13" s="550">
        <f>IF(J$6=0,0,VLOOKUP($A13,'base (2)'!$A:$P,J$6+4,FALSE))</f>
        <v>25</v>
      </c>
      <c r="K13" s="550">
        <f>IF(K$6=0,0,VLOOKUP($A13,'base (2)'!$A:$P,K$6+4,FALSE))</f>
        <v>0</v>
      </c>
      <c r="L13" s="550">
        <f>IF(L$6=0,0,VLOOKUP($A13,'base (2)'!$A:$P,L$6+4,FALSE))</f>
        <v>0</v>
      </c>
      <c r="M13" s="550">
        <f>IF(M$6=0,0,VLOOKUP($A13,'base (2)'!$A:$P,M$6+4,FALSE))</f>
        <v>0</v>
      </c>
      <c r="N13" s="550">
        <f>IF(N$6=0,0,VLOOKUP($A13,'base (2)'!$A:$P,N$6+4,FALSE))</f>
        <v>0</v>
      </c>
      <c r="O13" s="550">
        <f>IF(O$6=0,0,VLOOKUP($A13,'base (2)'!$A:$P,O$6+4,FALSE))</f>
        <v>0</v>
      </c>
      <c r="P13" s="550">
        <f>IF(P$6=0,0,VLOOKUP($A13,'base (2)'!$A:$P,P$6+4,FALSE))</f>
        <v>0</v>
      </c>
      <c r="Q13" s="551">
        <f>IF(Q$6=0,0,VLOOKUP($A13,'base (2)'!$A:$P,Q$6+4,FALSE))</f>
        <v>0</v>
      </c>
      <c r="R13" s="552"/>
      <c r="S13" s="553"/>
      <c r="T13" s="554">
        <f t="shared" si="3"/>
        <v>0</v>
      </c>
      <c r="U13" s="521"/>
      <c r="V13" s="521"/>
      <c r="W13" s="555">
        <f t="shared" si="4"/>
        <v>100</v>
      </c>
      <c r="X13" s="521"/>
    </row>
    <row r="14" spans="1:24" x14ac:dyDescent="0.2">
      <c r="A14" s="126" t="str">
        <f t="shared" si="5"/>
        <v>6|6</v>
      </c>
      <c r="B14" s="556" t="s">
        <v>228</v>
      </c>
      <c r="C14" s="547" t="s">
        <v>810</v>
      </c>
      <c r="D14" s="548"/>
      <c r="E14" s="549">
        <v>3</v>
      </c>
      <c r="F14" s="550">
        <f>IF(E$6&lt;3,0,IF(F$6=0,0,VLOOKUP($A14,'base (2)'!$A:$P,F$6+4,FALSE)))</f>
        <v>0</v>
      </c>
      <c r="G14" s="550">
        <f>IF(E$6&lt;3,0,IF(G$6=0,0,VLOOKUP($A14,'base (2)'!$A:$P,G$6+4,FALSE)))</f>
        <v>5</v>
      </c>
      <c r="H14" s="550">
        <f>IF(H$6=0,0,VLOOKUP($A14,'base (2)'!$A:$P,H$6+4,FALSE))</f>
        <v>10</v>
      </c>
      <c r="I14" s="550">
        <f>IF(I$6=0,0,VLOOKUP($A14,'base (2)'!$A:$P,I$6+4,FALSE))</f>
        <v>30</v>
      </c>
      <c r="J14" s="550">
        <f>IF(J$6=0,0,VLOOKUP($A14,'base (2)'!$A:$P,J$6+4,FALSE))</f>
        <v>30</v>
      </c>
      <c r="K14" s="550">
        <f>IF(K$6=0,0,VLOOKUP($A14,'base (2)'!$A:$P,K$6+4,FALSE))</f>
        <v>25</v>
      </c>
      <c r="L14" s="550">
        <f>IF(L$6=0,0,VLOOKUP($A14,'base (2)'!$A:$P,L$6+4,FALSE))</f>
        <v>0</v>
      </c>
      <c r="M14" s="550">
        <f>IF(M$6=0,0,VLOOKUP($A14,'base (2)'!$A:$P,M$6+4,FALSE))</f>
        <v>0</v>
      </c>
      <c r="N14" s="550">
        <f>IF(N$6=0,0,VLOOKUP($A14,'base (2)'!$A:$P,N$6+4,FALSE))</f>
        <v>0</v>
      </c>
      <c r="O14" s="550">
        <f>IF(O$6=0,0,VLOOKUP($A14,'base (2)'!$A:$P,O$6+4,FALSE))</f>
        <v>0</v>
      </c>
      <c r="P14" s="550">
        <f>IF(P$6=0,0,VLOOKUP($A14,'base (2)'!$A:$P,P$6+4,FALSE))</f>
        <v>0</v>
      </c>
      <c r="Q14" s="551">
        <f>IF(Q$6=0,0,VLOOKUP($A14,'base (2)'!$A:$P,Q$6+4,FALSE))</f>
        <v>0</v>
      </c>
      <c r="R14" s="552"/>
      <c r="S14" s="553"/>
      <c r="T14" s="554">
        <f t="shared" si="3"/>
        <v>0</v>
      </c>
      <c r="U14" s="521"/>
      <c r="V14" s="521"/>
      <c r="W14" s="555">
        <f t="shared" si="4"/>
        <v>100</v>
      </c>
      <c r="X14" s="521"/>
    </row>
    <row r="15" spans="1:24" x14ac:dyDescent="0.2">
      <c r="A15" s="126" t="str">
        <f t="shared" si="5"/>
        <v>6|7</v>
      </c>
      <c r="B15" s="556" t="s">
        <v>456</v>
      </c>
      <c r="C15" s="547" t="s">
        <v>482</v>
      </c>
      <c r="D15" s="548"/>
      <c r="E15" s="549">
        <v>5</v>
      </c>
      <c r="F15" s="550">
        <f>IF(E$6&lt;3,0,IF(F$6=0,0,VLOOKUP($A15,'base (2)'!$A:$P,F$6+4,FALSE)))</f>
        <v>0</v>
      </c>
      <c r="G15" s="550">
        <f>IF(E$6&lt;3,0,IF(G$6=0,0,VLOOKUP($A15,'base (2)'!$A:$P,G$6+4,FALSE)))</f>
        <v>0</v>
      </c>
      <c r="H15" s="550">
        <f>IF(H$6=0,0,VLOOKUP($A15,'base (2)'!$A:$P,H$6+4,FALSE))</f>
        <v>20</v>
      </c>
      <c r="I15" s="550">
        <f>IF(I$6=0,0,VLOOKUP($A15,'base (2)'!$A:$P,I$6+4,FALSE))</f>
        <v>20</v>
      </c>
      <c r="J15" s="550">
        <f>IF(J$6=0,0,VLOOKUP($A15,'base (2)'!$A:$P,J$6+4,FALSE))</f>
        <v>30</v>
      </c>
      <c r="K15" s="550">
        <f>IF(K$6=0,0,VLOOKUP($A15,'base (2)'!$A:$P,K$6+4,FALSE))</f>
        <v>30</v>
      </c>
      <c r="L15" s="550">
        <f>IF(L$6=0,0,VLOOKUP($A15,'base (2)'!$A:$P,L$6+4,FALSE))</f>
        <v>0</v>
      </c>
      <c r="M15" s="550">
        <f>IF(M$6=0,0,VLOOKUP($A15,'base (2)'!$A:$P,M$6+4,FALSE))</f>
        <v>0</v>
      </c>
      <c r="N15" s="550">
        <f>IF(N$6=0,0,VLOOKUP($A15,'base (2)'!$A:$P,N$6+4,FALSE))</f>
        <v>0</v>
      </c>
      <c r="O15" s="550">
        <f>IF(O$6=0,0,VLOOKUP($A15,'base (2)'!$A:$P,O$6+4,FALSE))</f>
        <v>0</v>
      </c>
      <c r="P15" s="550">
        <f>IF(P$6=0,0,VLOOKUP($A15,'base (2)'!$A:$P,P$6+4,FALSE))</f>
        <v>0</v>
      </c>
      <c r="Q15" s="551">
        <f>IF(Q$6=0,0,VLOOKUP($A15,'base (2)'!$A:$P,Q$6+4,FALSE))</f>
        <v>0</v>
      </c>
      <c r="R15" s="552"/>
      <c r="S15" s="553"/>
      <c r="T15" s="554">
        <f t="shared" si="3"/>
        <v>0</v>
      </c>
      <c r="U15" s="521"/>
      <c r="V15" s="521"/>
      <c r="W15" s="555">
        <f t="shared" si="4"/>
        <v>100</v>
      </c>
      <c r="X15" s="521"/>
    </row>
    <row r="16" spans="1:24" x14ac:dyDescent="0.2">
      <c r="A16" s="126" t="str">
        <f t="shared" si="5"/>
        <v>6|8</v>
      </c>
      <c r="B16" s="556" t="s">
        <v>323</v>
      </c>
      <c r="C16" s="547" t="s">
        <v>484</v>
      </c>
      <c r="D16" s="548"/>
      <c r="E16" s="549">
        <v>6</v>
      </c>
      <c r="F16" s="550">
        <f>IF(E$6&lt;3,0,IF(F$6=0,0,VLOOKUP($A16,'base (2)'!$A:$P,F$6+4,FALSE)))</f>
        <v>0</v>
      </c>
      <c r="G16" s="550">
        <f>IF(E$6&lt;3,0,IF(G$6=0,0,VLOOKUP($A16,'base (2)'!$A:$P,G$6+4,FALSE)))</f>
        <v>0</v>
      </c>
      <c r="H16" s="550">
        <f>IF(H$6=0,0,VLOOKUP($A16,'base (2)'!$A:$P,H$6+4,FALSE))</f>
        <v>20</v>
      </c>
      <c r="I16" s="550">
        <f>IF(I$6=0,0,VLOOKUP($A16,'base (2)'!$A:$P,I$6+4,FALSE))</f>
        <v>30</v>
      </c>
      <c r="J16" s="550">
        <f>IF(J$6=0,0,VLOOKUP($A16,'base (2)'!$A:$P,J$6+4,FALSE))</f>
        <v>30</v>
      </c>
      <c r="K16" s="550">
        <f>IF(K$6=0,0,VLOOKUP($A16,'base (2)'!$A:$P,K$6+4,FALSE))</f>
        <v>20</v>
      </c>
      <c r="L16" s="550">
        <f>IF(L$6=0,0,VLOOKUP($A16,'base (2)'!$A:$P,L$6+4,FALSE))</f>
        <v>0</v>
      </c>
      <c r="M16" s="550">
        <f>IF(M$6=0,0,VLOOKUP($A16,'base (2)'!$A:$P,M$6+4,FALSE))</f>
        <v>0</v>
      </c>
      <c r="N16" s="550">
        <f>IF(N$6=0,0,VLOOKUP($A16,'base (2)'!$A:$P,N$6+4,FALSE))</f>
        <v>0</v>
      </c>
      <c r="O16" s="550">
        <f>IF(O$6=0,0,VLOOKUP($A16,'base (2)'!$A:$P,O$6+4,FALSE))</f>
        <v>0</v>
      </c>
      <c r="P16" s="550">
        <f>IF(P$6=0,0,VLOOKUP($A16,'base (2)'!$A:$P,P$6+4,FALSE))</f>
        <v>0</v>
      </c>
      <c r="Q16" s="551">
        <f>IF(Q$6=0,0,VLOOKUP($A16,'base (2)'!$A:$P,Q$6+4,FALSE))</f>
        <v>0</v>
      </c>
      <c r="R16" s="552"/>
      <c r="S16" s="553"/>
      <c r="T16" s="554">
        <f t="shared" si="3"/>
        <v>0</v>
      </c>
      <c r="U16" s="521"/>
      <c r="V16" s="521"/>
      <c r="W16" s="555">
        <f t="shared" si="4"/>
        <v>100</v>
      </c>
      <c r="X16" s="521"/>
    </row>
    <row r="17" spans="1:24" x14ac:dyDescent="0.2">
      <c r="A17" s="126" t="str">
        <f t="shared" si="5"/>
        <v>6|9</v>
      </c>
      <c r="B17" s="556" t="s">
        <v>485</v>
      </c>
      <c r="C17" s="547" t="s">
        <v>486</v>
      </c>
      <c r="D17" s="548"/>
      <c r="E17" s="549">
        <v>6</v>
      </c>
      <c r="F17" s="550">
        <f>IF(E$6&lt;3,0,IF(F$6=0,0,VLOOKUP($A17,'base (2)'!$A:$P,F$6+4,FALSE)))</f>
        <v>5</v>
      </c>
      <c r="G17" s="550">
        <f>IF(E$6&lt;3,0,IF(G$6=0,0,VLOOKUP($A17,'base (2)'!$A:$P,G$6+4,FALSE)))</f>
        <v>15</v>
      </c>
      <c r="H17" s="550">
        <f>IF(H$6=0,0,VLOOKUP($A17,'base (2)'!$A:$P,H$6+4,FALSE))</f>
        <v>25</v>
      </c>
      <c r="I17" s="550">
        <f>IF(I$6=0,0,VLOOKUP($A17,'base (2)'!$A:$P,I$6+4,FALSE))</f>
        <v>25</v>
      </c>
      <c r="J17" s="550">
        <f>IF(J$6=0,0,VLOOKUP($A17,'base (2)'!$A:$P,J$6+4,FALSE))</f>
        <v>20</v>
      </c>
      <c r="K17" s="550">
        <f>IF(K$6=0,0,VLOOKUP($A17,'base (2)'!$A:$P,K$6+4,FALSE))</f>
        <v>10</v>
      </c>
      <c r="L17" s="550">
        <f>IF(L$6=0,0,VLOOKUP($A17,'base (2)'!$A:$P,L$6+4,FALSE))</f>
        <v>0</v>
      </c>
      <c r="M17" s="550">
        <f>IF(M$6=0,0,VLOOKUP($A17,'base (2)'!$A:$P,M$6+4,FALSE))</f>
        <v>0</v>
      </c>
      <c r="N17" s="550">
        <f>IF(N$6=0,0,VLOOKUP($A17,'base (2)'!$A:$P,N$6+4,FALSE))</f>
        <v>0</v>
      </c>
      <c r="O17" s="550">
        <f>IF(O$6=0,0,VLOOKUP($A17,'base (2)'!$A:$P,O$6+4,FALSE))</f>
        <v>0</v>
      </c>
      <c r="P17" s="550">
        <f>IF(P$6=0,0,VLOOKUP($A17,'base (2)'!$A:$P,P$6+4,FALSE))</f>
        <v>0</v>
      </c>
      <c r="Q17" s="551">
        <f>IF(Q$6=0,0,VLOOKUP($A17,'base (2)'!$A:$P,Q$6+4,FALSE))</f>
        <v>0</v>
      </c>
      <c r="R17" s="552"/>
      <c r="S17" s="553"/>
      <c r="T17" s="554">
        <f t="shared" si="3"/>
        <v>0</v>
      </c>
      <c r="U17" s="521"/>
      <c r="V17" s="521"/>
      <c r="W17" s="555">
        <f t="shared" si="4"/>
        <v>100</v>
      </c>
      <c r="X17" s="521"/>
    </row>
    <row r="18" spans="1:24" x14ac:dyDescent="0.2">
      <c r="A18" s="126" t="str">
        <f t="shared" si="5"/>
        <v>6|10</v>
      </c>
      <c r="B18" s="556" t="s">
        <v>487</v>
      </c>
      <c r="C18" s="547" t="s">
        <v>476</v>
      </c>
      <c r="D18" s="548"/>
      <c r="E18" s="549"/>
      <c r="F18" s="550">
        <f>IF(E$6&lt;3,0,IF(F$6=0,0,VLOOKUP($A18,'base (2)'!$A:$P,F$6+4,FALSE)))</f>
        <v>20</v>
      </c>
      <c r="G18" s="550">
        <f>IF(E$6&lt;3,0,IF(G$6=0,0,VLOOKUP($A18,'base (2)'!$A:$P,G$6+4,FALSE)))</f>
        <v>30</v>
      </c>
      <c r="H18" s="550">
        <f>IF(H$6=0,0,VLOOKUP($A18,'base (2)'!$A:$P,H$6+4,FALSE))</f>
        <v>30</v>
      </c>
      <c r="I18" s="550">
        <f>IF(I$6=0,0,VLOOKUP($A18,'base (2)'!$A:$P,I$6+4,FALSE))</f>
        <v>15</v>
      </c>
      <c r="J18" s="550">
        <f>IF(J$6=0,0,VLOOKUP($A18,'base (2)'!$A:$P,J$6+4,FALSE))</f>
        <v>5</v>
      </c>
      <c r="K18" s="550">
        <f>IF(K$6=0,0,VLOOKUP($A18,'base (2)'!$A:$P,K$6+4,FALSE))</f>
        <v>0</v>
      </c>
      <c r="L18" s="550">
        <f>IF(L$6=0,0,VLOOKUP($A18,'base (2)'!$A:$P,L$6+4,FALSE))</f>
        <v>0</v>
      </c>
      <c r="M18" s="550">
        <f>IF(M$6=0,0,VLOOKUP($A18,'base (2)'!$A:$P,M$6+4,FALSE))</f>
        <v>0</v>
      </c>
      <c r="N18" s="550">
        <f>IF(N$6=0,0,VLOOKUP($A18,'base (2)'!$A:$P,N$6+4,FALSE))</f>
        <v>0</v>
      </c>
      <c r="O18" s="550">
        <f>IF(O$6=0,0,VLOOKUP($A18,'base (2)'!$A:$P,O$6+4,FALSE))</f>
        <v>0</v>
      </c>
      <c r="P18" s="550">
        <f>IF(P$6=0,0,VLOOKUP($A18,'base (2)'!$A:$P,P$6+4,FALSE))</f>
        <v>0</v>
      </c>
      <c r="Q18" s="551">
        <f>IF(Q$6=0,0,VLOOKUP($A18,'base (2)'!$A:$P,Q$6+4,FALSE))</f>
        <v>0</v>
      </c>
      <c r="R18" s="552"/>
      <c r="S18" s="553"/>
      <c r="T18" s="554">
        <f t="shared" si="3"/>
        <v>0</v>
      </c>
      <c r="U18" s="521"/>
      <c r="V18" s="521"/>
      <c r="W18" s="555">
        <f t="shared" si="4"/>
        <v>100</v>
      </c>
      <c r="X18" s="521"/>
    </row>
    <row r="19" spans="1:24" x14ac:dyDescent="0.2">
      <c r="A19" s="126" t="str">
        <f t="shared" si="5"/>
        <v>6|11</v>
      </c>
      <c r="B19" s="556" t="s">
        <v>736</v>
      </c>
      <c r="C19" s="547" t="s">
        <v>772</v>
      </c>
      <c r="D19" s="548"/>
      <c r="E19" s="549"/>
      <c r="F19" s="550">
        <f>IF(E$6&lt;3,0,IF(F$6=0,0,VLOOKUP($A19,'base (2)'!$A:$P,F$6+4,FALSE)))</f>
        <v>3</v>
      </c>
      <c r="G19" s="550">
        <f>IF(E$6&lt;3,0,IF(G$6=0,0,VLOOKUP($A19,'base (2)'!$A:$P,G$6+4,FALSE)))</f>
        <v>12</v>
      </c>
      <c r="H19" s="550">
        <f>IF(H$6=0,0,VLOOKUP($A19,'base (2)'!$A:$P,H$6+4,FALSE))</f>
        <v>25</v>
      </c>
      <c r="I19" s="550">
        <f>IF(I$6=0,0,VLOOKUP($A19,'base (2)'!$A:$P,I$6+4,FALSE))</f>
        <v>28</v>
      </c>
      <c r="J19" s="550">
        <f>IF(J$6=0,0,VLOOKUP($A19,'base (2)'!$A:$P,J$6+4,FALSE))</f>
        <v>21</v>
      </c>
      <c r="K19" s="550">
        <f>IF(K$6=0,0,VLOOKUP($A19,'base (2)'!$A:$P,K$6+4,FALSE))</f>
        <v>11</v>
      </c>
      <c r="L19" s="550">
        <f>IF(L$6=0,0,VLOOKUP($A19,'base (2)'!$A:$P,L$6+4,FALSE))</f>
        <v>0</v>
      </c>
      <c r="M19" s="550">
        <f>IF(M$6=0,0,VLOOKUP($A19,'base (2)'!$A:$P,M$6+4,FALSE))</f>
        <v>0</v>
      </c>
      <c r="N19" s="550">
        <f>IF(N$6=0,0,VLOOKUP($A19,'base (2)'!$A:$P,N$6+4,FALSE))</f>
        <v>0</v>
      </c>
      <c r="O19" s="550">
        <f>IF(O$6=0,0,VLOOKUP($A19,'base (2)'!$A:$P,O$6+4,FALSE))</f>
        <v>0</v>
      </c>
      <c r="P19" s="550">
        <f>IF(P$6=0,0,VLOOKUP($A19,'base (2)'!$A:$P,P$6+4,FALSE))</f>
        <v>0</v>
      </c>
      <c r="Q19" s="551">
        <f>IF(Q$6=0,0,VLOOKUP($A19,'base (2)'!$A:$P,Q$6+4,FALSE))</f>
        <v>0</v>
      </c>
      <c r="R19" s="552"/>
      <c r="S19" s="553"/>
      <c r="T19" s="554">
        <f t="shared" si="3"/>
        <v>0</v>
      </c>
      <c r="U19" s="521"/>
      <c r="V19" s="521"/>
      <c r="W19" s="555">
        <f t="shared" si="4"/>
        <v>100</v>
      </c>
      <c r="X19" s="521"/>
    </row>
    <row r="20" spans="1:24" ht="13.5" thickBot="1" x14ac:dyDescent="0.25">
      <c r="A20" s="82"/>
      <c r="B20" s="557"/>
      <c r="C20" s="558"/>
      <c r="D20" s="558"/>
      <c r="E20" s="558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8"/>
      <c r="T20" s="129"/>
      <c r="U20" s="521"/>
      <c r="V20" s="521"/>
      <c r="W20" s="521"/>
      <c r="X20" s="521"/>
    </row>
    <row r="21" spans="1:24" ht="14.25" thickTop="1" thickBot="1" x14ac:dyDescent="0.25">
      <c r="A21" s="82"/>
      <c r="B21" s="559"/>
      <c r="C21" s="130" t="s">
        <v>883</v>
      </c>
      <c r="D21" s="130" t="s">
        <v>883</v>
      </c>
      <c r="E21" s="560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2">
        <f>SUM(S9:S20)</f>
        <v>0</v>
      </c>
      <c r="T21" s="133">
        <f>SUM(T9:T19)</f>
        <v>0</v>
      </c>
      <c r="U21" s="521"/>
      <c r="V21" s="521"/>
      <c r="W21" s="521"/>
      <c r="X21" s="521"/>
    </row>
    <row r="22" spans="1:24" ht="18.75" thickTop="1" x14ac:dyDescent="0.25">
      <c r="A22" s="82"/>
      <c r="B22" s="134" t="s">
        <v>927</v>
      </c>
      <c r="C22" s="135"/>
      <c r="D22" s="135"/>
      <c r="E22" s="135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7"/>
      <c r="U22" s="521"/>
      <c r="V22" s="521"/>
      <c r="W22" s="521"/>
      <c r="X22" s="521"/>
    </row>
    <row r="23" spans="1:24" ht="13.5" thickBot="1" x14ac:dyDescent="0.25">
      <c r="A23" s="82"/>
      <c r="B23" s="534" t="s">
        <v>879</v>
      </c>
      <c r="C23" s="539"/>
      <c r="D23" s="539"/>
      <c r="E23" s="539"/>
      <c r="F23" s="138" t="s">
        <v>885</v>
      </c>
      <c r="G23" s="138"/>
      <c r="H23" s="138"/>
      <c r="I23" s="138"/>
      <c r="J23" s="138"/>
      <c r="K23" s="138"/>
      <c r="L23" s="138"/>
      <c r="M23" s="138"/>
      <c r="N23" s="138"/>
      <c r="O23" s="138"/>
      <c r="P23" s="138"/>
      <c r="Q23" s="139"/>
      <c r="R23" s="531" t="s">
        <v>886</v>
      </c>
      <c r="S23" s="140" t="s">
        <v>517</v>
      </c>
      <c r="T23" s="141" t="s">
        <v>877</v>
      </c>
      <c r="U23" s="521"/>
      <c r="V23" s="521"/>
      <c r="W23" s="521"/>
      <c r="X23" s="521"/>
    </row>
    <row r="24" spans="1:24" ht="13.5" thickTop="1" x14ac:dyDescent="0.2">
      <c r="A24" s="82"/>
      <c r="B24" s="561"/>
      <c r="C24" s="562"/>
      <c r="D24" s="563"/>
      <c r="E24" s="563"/>
      <c r="F24" s="142">
        <f t="shared" ref="F24:Q24" si="6">F6</f>
        <v>1</v>
      </c>
      <c r="G24" s="142">
        <f t="shared" si="6"/>
        <v>2</v>
      </c>
      <c r="H24" s="142">
        <f t="shared" si="6"/>
        <v>3</v>
      </c>
      <c r="I24" s="142">
        <f t="shared" si="6"/>
        <v>4</v>
      </c>
      <c r="J24" s="142">
        <f t="shared" si="6"/>
        <v>5</v>
      </c>
      <c r="K24" s="142">
        <f t="shared" si="6"/>
        <v>6</v>
      </c>
      <c r="L24" s="142">
        <f t="shared" si="6"/>
        <v>0</v>
      </c>
      <c r="M24" s="142">
        <f t="shared" si="6"/>
        <v>0</v>
      </c>
      <c r="N24" s="142">
        <f t="shared" si="6"/>
        <v>0</v>
      </c>
      <c r="O24" s="142">
        <f t="shared" si="6"/>
        <v>0</v>
      </c>
      <c r="P24" s="142">
        <f t="shared" si="6"/>
        <v>0</v>
      </c>
      <c r="Q24" s="143">
        <f t="shared" si="6"/>
        <v>0</v>
      </c>
      <c r="R24" s="564" t="s">
        <v>887</v>
      </c>
      <c r="S24" s="144" t="s">
        <v>879</v>
      </c>
      <c r="T24" s="145" t="s">
        <v>879</v>
      </c>
      <c r="U24" s="521"/>
      <c r="V24" s="521"/>
      <c r="W24" s="521"/>
      <c r="X24" s="521"/>
    </row>
    <row r="25" spans="1:24" x14ac:dyDescent="0.2">
      <c r="A25" s="82"/>
      <c r="B25" s="146" t="s">
        <v>888</v>
      </c>
      <c r="C25" s="147" t="s">
        <v>477</v>
      </c>
      <c r="D25" s="148" t="s">
        <v>928</v>
      </c>
      <c r="E25" s="149" t="s">
        <v>890</v>
      </c>
      <c r="F25" s="150">
        <f t="shared" ref="F25:Q25" si="7">((F9/100)*$S$9)*$T$2</f>
        <v>0</v>
      </c>
      <c r="G25" s="150">
        <f t="shared" si="7"/>
        <v>0</v>
      </c>
      <c r="H25" s="150">
        <f t="shared" si="7"/>
        <v>0</v>
      </c>
      <c r="I25" s="150">
        <f t="shared" si="7"/>
        <v>0</v>
      </c>
      <c r="J25" s="150">
        <f t="shared" si="7"/>
        <v>0</v>
      </c>
      <c r="K25" s="150">
        <f t="shared" si="7"/>
        <v>0</v>
      </c>
      <c r="L25" s="150">
        <f t="shared" si="7"/>
        <v>0</v>
      </c>
      <c r="M25" s="150">
        <f t="shared" si="7"/>
        <v>0</v>
      </c>
      <c r="N25" s="150">
        <f t="shared" si="7"/>
        <v>0</v>
      </c>
      <c r="O25" s="150">
        <f t="shared" si="7"/>
        <v>0</v>
      </c>
      <c r="P25" s="150">
        <f t="shared" si="7"/>
        <v>0</v>
      </c>
      <c r="Q25" s="151">
        <f t="shared" si="7"/>
        <v>0</v>
      </c>
      <c r="R25" s="152">
        <f>COUNTIF(F25:Q25,"&gt;0")</f>
        <v>0</v>
      </c>
      <c r="S25" s="153">
        <f t="shared" ref="S25:S46" si="8">SUM(F25:Q25)</f>
        <v>0</v>
      </c>
      <c r="T25" s="154">
        <f t="shared" ref="T25:T46" si="9">IF($S$51=0,0,(S25/$S$51))</f>
        <v>0</v>
      </c>
      <c r="U25" s="521"/>
      <c r="V25" s="521"/>
      <c r="W25" s="521"/>
      <c r="X25" s="521"/>
    </row>
    <row r="26" spans="1:24" x14ac:dyDescent="0.2">
      <c r="A26" s="82"/>
      <c r="B26" s="146" t="s">
        <v>891</v>
      </c>
      <c r="C26" s="155"/>
      <c r="D26" s="148" t="s">
        <v>892</v>
      </c>
      <c r="E26" s="149" t="s">
        <v>890</v>
      </c>
      <c r="F26" s="150">
        <f>((F9/100)*$S$9)*T3</f>
        <v>0</v>
      </c>
      <c r="G26" s="150">
        <f t="shared" ref="G26:Q26" si="10">((G9/100)*$S$9)*$T$3</f>
        <v>0</v>
      </c>
      <c r="H26" s="150">
        <f t="shared" si="10"/>
        <v>0</v>
      </c>
      <c r="I26" s="150">
        <f t="shared" si="10"/>
        <v>0</v>
      </c>
      <c r="J26" s="150">
        <f t="shared" si="10"/>
        <v>0</v>
      </c>
      <c r="K26" s="150">
        <f t="shared" si="10"/>
        <v>0</v>
      </c>
      <c r="L26" s="150">
        <f t="shared" si="10"/>
        <v>0</v>
      </c>
      <c r="M26" s="150">
        <f t="shared" si="10"/>
        <v>0</v>
      </c>
      <c r="N26" s="150">
        <f t="shared" si="10"/>
        <v>0</v>
      </c>
      <c r="O26" s="150">
        <f t="shared" si="10"/>
        <v>0</v>
      </c>
      <c r="P26" s="150">
        <f t="shared" si="10"/>
        <v>0</v>
      </c>
      <c r="Q26" s="151">
        <f t="shared" si="10"/>
        <v>0</v>
      </c>
      <c r="R26" s="156">
        <f t="shared" ref="R26:R46" si="11">COUNTIF(F26:Q26,"&gt;0")</f>
        <v>0</v>
      </c>
      <c r="S26" s="153">
        <f t="shared" si="8"/>
        <v>0</v>
      </c>
      <c r="T26" s="154">
        <f t="shared" si="9"/>
        <v>0</v>
      </c>
      <c r="U26" s="565"/>
      <c r="V26" s="521"/>
      <c r="W26" s="521"/>
      <c r="X26" s="521"/>
    </row>
    <row r="27" spans="1:24" x14ac:dyDescent="0.2">
      <c r="A27" s="82"/>
      <c r="B27" s="146" t="s">
        <v>893</v>
      </c>
      <c r="C27" s="157" t="s">
        <v>473</v>
      </c>
      <c r="D27" s="149" t="s">
        <v>928</v>
      </c>
      <c r="E27" s="149" t="s">
        <v>890</v>
      </c>
      <c r="F27" s="150">
        <f t="shared" ref="F27:Q27" si="12">((F10/100)*$S$10)*$T$2</f>
        <v>0</v>
      </c>
      <c r="G27" s="150">
        <f t="shared" si="12"/>
        <v>0</v>
      </c>
      <c r="H27" s="150">
        <f t="shared" si="12"/>
        <v>0</v>
      </c>
      <c r="I27" s="150">
        <f t="shared" si="12"/>
        <v>0</v>
      </c>
      <c r="J27" s="150">
        <f t="shared" si="12"/>
        <v>0</v>
      </c>
      <c r="K27" s="150">
        <f t="shared" si="12"/>
        <v>0</v>
      </c>
      <c r="L27" s="150">
        <f t="shared" si="12"/>
        <v>0</v>
      </c>
      <c r="M27" s="150">
        <f t="shared" si="12"/>
        <v>0</v>
      </c>
      <c r="N27" s="150">
        <f t="shared" si="12"/>
        <v>0</v>
      </c>
      <c r="O27" s="150">
        <f t="shared" si="12"/>
        <v>0</v>
      </c>
      <c r="P27" s="150">
        <f t="shared" si="12"/>
        <v>0</v>
      </c>
      <c r="Q27" s="151">
        <f t="shared" si="12"/>
        <v>0</v>
      </c>
      <c r="R27" s="156">
        <f t="shared" si="11"/>
        <v>0</v>
      </c>
      <c r="S27" s="153">
        <f t="shared" si="8"/>
        <v>0</v>
      </c>
      <c r="T27" s="154">
        <f t="shared" si="9"/>
        <v>0</v>
      </c>
      <c r="U27" s="521"/>
      <c r="V27" s="521"/>
      <c r="W27" s="521"/>
      <c r="X27" s="521"/>
    </row>
    <row r="28" spans="1:24" x14ac:dyDescent="0.2">
      <c r="A28" s="82"/>
      <c r="B28" s="146" t="s">
        <v>894</v>
      </c>
      <c r="C28" s="158"/>
      <c r="D28" s="149" t="s">
        <v>892</v>
      </c>
      <c r="E28" s="149" t="s">
        <v>890</v>
      </c>
      <c r="F28" s="150">
        <f t="shared" ref="F28:Q28" si="13">((F10/100)*$S$10)*$T$3</f>
        <v>0</v>
      </c>
      <c r="G28" s="150">
        <f t="shared" si="13"/>
        <v>0</v>
      </c>
      <c r="H28" s="150">
        <f t="shared" si="13"/>
        <v>0</v>
      </c>
      <c r="I28" s="150">
        <f t="shared" si="13"/>
        <v>0</v>
      </c>
      <c r="J28" s="150">
        <f t="shared" si="13"/>
        <v>0</v>
      </c>
      <c r="K28" s="150">
        <f t="shared" si="13"/>
        <v>0</v>
      </c>
      <c r="L28" s="150">
        <f t="shared" si="13"/>
        <v>0</v>
      </c>
      <c r="M28" s="150">
        <f t="shared" si="13"/>
        <v>0</v>
      </c>
      <c r="N28" s="150">
        <f t="shared" si="13"/>
        <v>0</v>
      </c>
      <c r="O28" s="150">
        <f t="shared" si="13"/>
        <v>0</v>
      </c>
      <c r="P28" s="150">
        <f t="shared" si="13"/>
        <v>0</v>
      </c>
      <c r="Q28" s="151">
        <f t="shared" si="13"/>
        <v>0</v>
      </c>
      <c r="R28" s="156">
        <f t="shared" si="11"/>
        <v>0</v>
      </c>
      <c r="S28" s="153">
        <f t="shared" si="8"/>
        <v>0</v>
      </c>
      <c r="T28" s="154">
        <f t="shared" si="9"/>
        <v>0</v>
      </c>
      <c r="U28" s="565"/>
      <c r="V28" s="521"/>
      <c r="W28" s="521"/>
      <c r="X28" s="521"/>
    </row>
    <row r="29" spans="1:24" x14ac:dyDescent="0.2">
      <c r="A29" s="82"/>
      <c r="B29" s="146" t="s">
        <v>895</v>
      </c>
      <c r="C29" s="157" t="s">
        <v>479</v>
      </c>
      <c r="D29" s="149" t="s">
        <v>928</v>
      </c>
      <c r="E29" s="149" t="s">
        <v>890</v>
      </c>
      <c r="F29" s="150">
        <f t="shared" ref="F29:Q29" si="14">((F11/100)*$S$11)*$T$2</f>
        <v>0</v>
      </c>
      <c r="G29" s="150">
        <f t="shared" si="14"/>
        <v>0</v>
      </c>
      <c r="H29" s="150">
        <f t="shared" si="14"/>
        <v>0</v>
      </c>
      <c r="I29" s="150">
        <f t="shared" si="14"/>
        <v>0</v>
      </c>
      <c r="J29" s="150">
        <f t="shared" si="14"/>
        <v>0</v>
      </c>
      <c r="K29" s="150">
        <f t="shared" si="14"/>
        <v>0</v>
      </c>
      <c r="L29" s="150">
        <f t="shared" si="14"/>
        <v>0</v>
      </c>
      <c r="M29" s="150">
        <f t="shared" si="14"/>
        <v>0</v>
      </c>
      <c r="N29" s="150">
        <f t="shared" si="14"/>
        <v>0</v>
      </c>
      <c r="O29" s="150">
        <f t="shared" si="14"/>
        <v>0</v>
      </c>
      <c r="P29" s="150">
        <f t="shared" si="14"/>
        <v>0</v>
      </c>
      <c r="Q29" s="151">
        <f t="shared" si="14"/>
        <v>0</v>
      </c>
      <c r="R29" s="156">
        <f t="shared" si="11"/>
        <v>0</v>
      </c>
      <c r="S29" s="153">
        <f t="shared" si="8"/>
        <v>0</v>
      </c>
      <c r="T29" s="154">
        <f t="shared" si="9"/>
        <v>0</v>
      </c>
      <c r="U29" s="521"/>
      <c r="V29" s="521"/>
      <c r="W29" s="521"/>
      <c r="X29" s="521"/>
    </row>
    <row r="30" spans="1:24" x14ac:dyDescent="0.2">
      <c r="A30" s="82"/>
      <c r="B30" s="146" t="s">
        <v>896</v>
      </c>
      <c r="C30" s="158"/>
      <c r="D30" s="149" t="s">
        <v>892</v>
      </c>
      <c r="E30" s="149" t="s">
        <v>890</v>
      </c>
      <c r="F30" s="150">
        <f t="shared" ref="F30:Q30" si="15">((F11/100)*$S$11)*$T$3</f>
        <v>0</v>
      </c>
      <c r="G30" s="150">
        <f t="shared" si="15"/>
        <v>0</v>
      </c>
      <c r="H30" s="150">
        <f t="shared" si="15"/>
        <v>0</v>
      </c>
      <c r="I30" s="150">
        <f t="shared" si="15"/>
        <v>0</v>
      </c>
      <c r="J30" s="150">
        <f t="shared" si="15"/>
        <v>0</v>
      </c>
      <c r="K30" s="150">
        <f t="shared" si="15"/>
        <v>0</v>
      </c>
      <c r="L30" s="150">
        <f t="shared" si="15"/>
        <v>0</v>
      </c>
      <c r="M30" s="150">
        <f t="shared" si="15"/>
        <v>0</v>
      </c>
      <c r="N30" s="150">
        <f t="shared" si="15"/>
        <v>0</v>
      </c>
      <c r="O30" s="150">
        <f t="shared" si="15"/>
        <v>0</v>
      </c>
      <c r="P30" s="150">
        <f t="shared" si="15"/>
        <v>0</v>
      </c>
      <c r="Q30" s="151">
        <f t="shared" si="15"/>
        <v>0</v>
      </c>
      <c r="R30" s="156">
        <f t="shared" si="11"/>
        <v>0</v>
      </c>
      <c r="S30" s="153">
        <f t="shared" si="8"/>
        <v>0</v>
      </c>
      <c r="T30" s="154">
        <f t="shared" si="9"/>
        <v>0</v>
      </c>
      <c r="U30" s="565"/>
      <c r="V30" s="521"/>
      <c r="W30" s="521"/>
      <c r="X30" s="521"/>
    </row>
    <row r="31" spans="1:24" x14ac:dyDescent="0.2">
      <c r="A31" s="82"/>
      <c r="B31" s="146" t="s">
        <v>897</v>
      </c>
      <c r="C31" s="157" t="s">
        <v>474</v>
      </c>
      <c r="D31" s="149" t="s">
        <v>928</v>
      </c>
      <c r="E31" s="149" t="s">
        <v>890</v>
      </c>
      <c r="F31" s="150">
        <f>((F12/100)*$S$12)*T2</f>
        <v>0</v>
      </c>
      <c r="G31" s="150">
        <f t="shared" ref="G31:Q31" si="16">((G12/100)*$S$12)*$T$2</f>
        <v>0</v>
      </c>
      <c r="H31" s="150">
        <f t="shared" si="16"/>
        <v>0</v>
      </c>
      <c r="I31" s="150">
        <f t="shared" si="16"/>
        <v>0</v>
      </c>
      <c r="J31" s="150">
        <f t="shared" si="16"/>
        <v>0</v>
      </c>
      <c r="K31" s="150">
        <f t="shared" si="16"/>
        <v>0</v>
      </c>
      <c r="L31" s="150">
        <f t="shared" si="16"/>
        <v>0</v>
      </c>
      <c r="M31" s="150">
        <f t="shared" si="16"/>
        <v>0</v>
      </c>
      <c r="N31" s="150">
        <f t="shared" si="16"/>
        <v>0</v>
      </c>
      <c r="O31" s="150">
        <f t="shared" si="16"/>
        <v>0</v>
      </c>
      <c r="P31" s="150">
        <f t="shared" si="16"/>
        <v>0</v>
      </c>
      <c r="Q31" s="151">
        <f t="shared" si="16"/>
        <v>0</v>
      </c>
      <c r="R31" s="156">
        <f t="shared" si="11"/>
        <v>0</v>
      </c>
      <c r="S31" s="153">
        <f t="shared" si="8"/>
        <v>0</v>
      </c>
      <c r="T31" s="154">
        <f t="shared" si="9"/>
        <v>0</v>
      </c>
      <c r="U31" s="521"/>
      <c r="V31" s="521"/>
      <c r="W31" s="521"/>
      <c r="X31" s="521"/>
    </row>
    <row r="32" spans="1:24" x14ac:dyDescent="0.2">
      <c r="A32" s="82"/>
      <c r="B32" s="146" t="s">
        <v>898</v>
      </c>
      <c r="C32" s="158"/>
      <c r="D32" s="149" t="s">
        <v>892</v>
      </c>
      <c r="E32" s="149" t="s">
        <v>890</v>
      </c>
      <c r="F32" s="150">
        <f t="shared" ref="F32:Q32" si="17">((F12/100)*$S$12)*$T$3</f>
        <v>0</v>
      </c>
      <c r="G32" s="150">
        <f t="shared" si="17"/>
        <v>0</v>
      </c>
      <c r="H32" s="150">
        <f t="shared" si="17"/>
        <v>0</v>
      </c>
      <c r="I32" s="150">
        <f t="shared" si="17"/>
        <v>0</v>
      </c>
      <c r="J32" s="150">
        <f t="shared" si="17"/>
        <v>0</v>
      </c>
      <c r="K32" s="150">
        <f t="shared" si="17"/>
        <v>0</v>
      </c>
      <c r="L32" s="150">
        <f t="shared" si="17"/>
        <v>0</v>
      </c>
      <c r="M32" s="150">
        <f t="shared" si="17"/>
        <v>0</v>
      </c>
      <c r="N32" s="150">
        <f t="shared" si="17"/>
        <v>0</v>
      </c>
      <c r="O32" s="150">
        <f t="shared" si="17"/>
        <v>0</v>
      </c>
      <c r="P32" s="150">
        <f t="shared" si="17"/>
        <v>0</v>
      </c>
      <c r="Q32" s="151">
        <f t="shared" si="17"/>
        <v>0</v>
      </c>
      <c r="R32" s="156">
        <f t="shared" si="11"/>
        <v>0</v>
      </c>
      <c r="S32" s="153">
        <f t="shared" si="8"/>
        <v>0</v>
      </c>
      <c r="T32" s="154">
        <f t="shared" si="9"/>
        <v>0</v>
      </c>
      <c r="U32" s="565"/>
      <c r="V32" s="521"/>
      <c r="W32" s="521"/>
      <c r="X32" s="521"/>
    </row>
    <row r="33" spans="1:24" x14ac:dyDescent="0.2">
      <c r="A33" s="82"/>
      <c r="B33" s="146" t="s">
        <v>899</v>
      </c>
      <c r="C33" s="157" t="s">
        <v>475</v>
      </c>
      <c r="D33" s="149" t="s">
        <v>928</v>
      </c>
      <c r="E33" s="149" t="s">
        <v>890</v>
      </c>
      <c r="F33" s="150">
        <f t="shared" ref="F33:Q33" si="18">((F13/100)*$S$13)*$T$2</f>
        <v>0</v>
      </c>
      <c r="G33" s="150">
        <f t="shared" si="18"/>
        <v>0</v>
      </c>
      <c r="H33" s="150">
        <f t="shared" si="18"/>
        <v>0</v>
      </c>
      <c r="I33" s="150">
        <f t="shared" si="18"/>
        <v>0</v>
      </c>
      <c r="J33" s="150">
        <f t="shared" si="18"/>
        <v>0</v>
      </c>
      <c r="K33" s="150">
        <f t="shared" si="18"/>
        <v>0</v>
      </c>
      <c r="L33" s="150">
        <f t="shared" si="18"/>
        <v>0</v>
      </c>
      <c r="M33" s="150">
        <f t="shared" si="18"/>
        <v>0</v>
      </c>
      <c r="N33" s="150">
        <f t="shared" si="18"/>
        <v>0</v>
      </c>
      <c r="O33" s="150">
        <f t="shared" si="18"/>
        <v>0</v>
      </c>
      <c r="P33" s="150">
        <f t="shared" si="18"/>
        <v>0</v>
      </c>
      <c r="Q33" s="151">
        <f t="shared" si="18"/>
        <v>0</v>
      </c>
      <c r="R33" s="156">
        <f t="shared" si="11"/>
        <v>0</v>
      </c>
      <c r="S33" s="153">
        <f t="shared" si="8"/>
        <v>0</v>
      </c>
      <c r="T33" s="154">
        <f t="shared" si="9"/>
        <v>0</v>
      </c>
      <c r="U33" s="521"/>
      <c r="V33" s="521"/>
      <c r="W33" s="521"/>
      <c r="X33" s="521"/>
    </row>
    <row r="34" spans="1:24" x14ac:dyDescent="0.2">
      <c r="A34" s="82"/>
      <c r="B34" s="146" t="s">
        <v>900</v>
      </c>
      <c r="C34" s="158"/>
      <c r="D34" s="149" t="s">
        <v>892</v>
      </c>
      <c r="E34" s="149" t="s">
        <v>890</v>
      </c>
      <c r="F34" s="150">
        <f t="shared" ref="F34:Q34" si="19">((F13/100)*$S$13)*$T$3</f>
        <v>0</v>
      </c>
      <c r="G34" s="150">
        <f t="shared" si="19"/>
        <v>0</v>
      </c>
      <c r="H34" s="150">
        <f t="shared" si="19"/>
        <v>0</v>
      </c>
      <c r="I34" s="150">
        <f t="shared" si="19"/>
        <v>0</v>
      </c>
      <c r="J34" s="150">
        <f t="shared" si="19"/>
        <v>0</v>
      </c>
      <c r="K34" s="150">
        <f t="shared" si="19"/>
        <v>0</v>
      </c>
      <c r="L34" s="150">
        <f t="shared" si="19"/>
        <v>0</v>
      </c>
      <c r="M34" s="150">
        <f t="shared" si="19"/>
        <v>0</v>
      </c>
      <c r="N34" s="150">
        <f t="shared" si="19"/>
        <v>0</v>
      </c>
      <c r="O34" s="150">
        <f t="shared" si="19"/>
        <v>0</v>
      </c>
      <c r="P34" s="150">
        <f t="shared" si="19"/>
        <v>0</v>
      </c>
      <c r="Q34" s="151">
        <f t="shared" si="19"/>
        <v>0</v>
      </c>
      <c r="R34" s="156">
        <f t="shared" si="11"/>
        <v>0</v>
      </c>
      <c r="S34" s="153">
        <f t="shared" si="8"/>
        <v>0</v>
      </c>
      <c r="T34" s="154">
        <f t="shared" si="9"/>
        <v>0</v>
      </c>
      <c r="U34" s="565"/>
      <c r="V34" s="521"/>
      <c r="W34" s="521"/>
      <c r="X34" s="521"/>
    </row>
    <row r="35" spans="1:24" x14ac:dyDescent="0.2">
      <c r="A35" s="82"/>
      <c r="B35" s="146" t="s">
        <v>901</v>
      </c>
      <c r="C35" s="157" t="s">
        <v>985</v>
      </c>
      <c r="D35" s="149" t="s">
        <v>928</v>
      </c>
      <c r="E35" s="149" t="s">
        <v>890</v>
      </c>
      <c r="F35" s="150">
        <f t="shared" ref="F35:Q35" si="20">((F14/100)*$S$14)*$T$2</f>
        <v>0</v>
      </c>
      <c r="G35" s="150">
        <f t="shared" si="20"/>
        <v>0</v>
      </c>
      <c r="H35" s="150">
        <f t="shared" si="20"/>
        <v>0</v>
      </c>
      <c r="I35" s="150">
        <f t="shared" si="20"/>
        <v>0</v>
      </c>
      <c r="J35" s="150">
        <f t="shared" si="20"/>
        <v>0</v>
      </c>
      <c r="K35" s="150">
        <f t="shared" si="20"/>
        <v>0</v>
      </c>
      <c r="L35" s="150">
        <f t="shared" si="20"/>
        <v>0</v>
      </c>
      <c r="M35" s="150">
        <f t="shared" si="20"/>
        <v>0</v>
      </c>
      <c r="N35" s="150">
        <f t="shared" si="20"/>
        <v>0</v>
      </c>
      <c r="O35" s="150">
        <f t="shared" si="20"/>
        <v>0</v>
      </c>
      <c r="P35" s="150">
        <f t="shared" si="20"/>
        <v>0</v>
      </c>
      <c r="Q35" s="151">
        <f t="shared" si="20"/>
        <v>0</v>
      </c>
      <c r="R35" s="156">
        <f t="shared" si="11"/>
        <v>0</v>
      </c>
      <c r="S35" s="153">
        <f t="shared" si="8"/>
        <v>0</v>
      </c>
      <c r="T35" s="154">
        <f t="shared" si="9"/>
        <v>0</v>
      </c>
      <c r="U35" s="521"/>
      <c r="V35" s="521"/>
      <c r="W35" s="521"/>
      <c r="X35" s="521"/>
    </row>
    <row r="36" spans="1:24" x14ac:dyDescent="0.2">
      <c r="A36" s="82"/>
      <c r="B36" s="146" t="s">
        <v>902</v>
      </c>
      <c r="C36" s="158"/>
      <c r="D36" s="149" t="s">
        <v>892</v>
      </c>
      <c r="E36" s="149" t="s">
        <v>890</v>
      </c>
      <c r="F36" s="150">
        <f t="shared" ref="F36:Q36" si="21">((F14/100)*$S$14)*$T$3</f>
        <v>0</v>
      </c>
      <c r="G36" s="150">
        <f t="shared" si="21"/>
        <v>0</v>
      </c>
      <c r="H36" s="150">
        <f t="shared" si="21"/>
        <v>0</v>
      </c>
      <c r="I36" s="150">
        <f t="shared" si="21"/>
        <v>0</v>
      </c>
      <c r="J36" s="150">
        <f t="shared" si="21"/>
        <v>0</v>
      </c>
      <c r="K36" s="150">
        <f t="shared" si="21"/>
        <v>0</v>
      </c>
      <c r="L36" s="150">
        <f t="shared" si="21"/>
        <v>0</v>
      </c>
      <c r="M36" s="150">
        <f t="shared" si="21"/>
        <v>0</v>
      </c>
      <c r="N36" s="150">
        <f t="shared" si="21"/>
        <v>0</v>
      </c>
      <c r="O36" s="150">
        <f t="shared" si="21"/>
        <v>0</v>
      </c>
      <c r="P36" s="150">
        <f t="shared" si="21"/>
        <v>0</v>
      </c>
      <c r="Q36" s="151">
        <f t="shared" si="21"/>
        <v>0</v>
      </c>
      <c r="R36" s="156">
        <f t="shared" si="11"/>
        <v>0</v>
      </c>
      <c r="S36" s="153">
        <f t="shared" si="8"/>
        <v>0</v>
      </c>
      <c r="T36" s="154">
        <f t="shared" si="9"/>
        <v>0</v>
      </c>
      <c r="U36" s="565"/>
      <c r="V36" s="521"/>
      <c r="W36" s="521"/>
      <c r="X36" s="521"/>
    </row>
    <row r="37" spans="1:24" x14ac:dyDescent="0.2">
      <c r="A37" s="82"/>
      <c r="B37" s="146" t="s">
        <v>903</v>
      </c>
      <c r="C37" s="157" t="s">
        <v>482</v>
      </c>
      <c r="D37" s="149" t="s">
        <v>928</v>
      </c>
      <c r="E37" s="149" t="s">
        <v>890</v>
      </c>
      <c r="F37" s="150">
        <f t="shared" ref="F37:Q37" si="22">((F15/100)*$S$15)*$T$2</f>
        <v>0</v>
      </c>
      <c r="G37" s="150">
        <f t="shared" si="22"/>
        <v>0</v>
      </c>
      <c r="H37" s="150">
        <f t="shared" si="22"/>
        <v>0</v>
      </c>
      <c r="I37" s="150">
        <f t="shared" si="22"/>
        <v>0</v>
      </c>
      <c r="J37" s="150">
        <f t="shared" si="22"/>
        <v>0</v>
      </c>
      <c r="K37" s="150">
        <f t="shared" si="22"/>
        <v>0</v>
      </c>
      <c r="L37" s="150">
        <f t="shared" si="22"/>
        <v>0</v>
      </c>
      <c r="M37" s="150">
        <f t="shared" si="22"/>
        <v>0</v>
      </c>
      <c r="N37" s="150">
        <f t="shared" si="22"/>
        <v>0</v>
      </c>
      <c r="O37" s="150">
        <f t="shared" si="22"/>
        <v>0</v>
      </c>
      <c r="P37" s="150">
        <f t="shared" si="22"/>
        <v>0</v>
      </c>
      <c r="Q37" s="151">
        <f t="shared" si="22"/>
        <v>0</v>
      </c>
      <c r="R37" s="156">
        <f t="shared" si="11"/>
        <v>0</v>
      </c>
      <c r="S37" s="153">
        <f t="shared" si="8"/>
        <v>0</v>
      </c>
      <c r="T37" s="154">
        <f t="shared" si="9"/>
        <v>0</v>
      </c>
      <c r="U37" s="521"/>
      <c r="V37" s="521"/>
      <c r="W37" s="521"/>
      <c r="X37" s="521"/>
    </row>
    <row r="38" spans="1:24" x14ac:dyDescent="0.2">
      <c r="A38" s="82"/>
      <c r="B38" s="146" t="s">
        <v>904</v>
      </c>
      <c r="C38" s="158"/>
      <c r="D38" s="149" t="s">
        <v>892</v>
      </c>
      <c r="E38" s="149" t="s">
        <v>890</v>
      </c>
      <c r="F38" s="150">
        <f t="shared" ref="F38:Q38" si="23">((F15/100)*$S$15)*$T$3</f>
        <v>0</v>
      </c>
      <c r="G38" s="150">
        <f t="shared" si="23"/>
        <v>0</v>
      </c>
      <c r="H38" s="150">
        <f t="shared" si="23"/>
        <v>0</v>
      </c>
      <c r="I38" s="150">
        <f t="shared" si="23"/>
        <v>0</v>
      </c>
      <c r="J38" s="150">
        <f t="shared" si="23"/>
        <v>0</v>
      </c>
      <c r="K38" s="150">
        <f t="shared" si="23"/>
        <v>0</v>
      </c>
      <c r="L38" s="150">
        <f t="shared" si="23"/>
        <v>0</v>
      </c>
      <c r="M38" s="150">
        <f t="shared" si="23"/>
        <v>0</v>
      </c>
      <c r="N38" s="150">
        <f t="shared" si="23"/>
        <v>0</v>
      </c>
      <c r="O38" s="150">
        <f t="shared" si="23"/>
        <v>0</v>
      </c>
      <c r="P38" s="150">
        <f t="shared" si="23"/>
        <v>0</v>
      </c>
      <c r="Q38" s="151">
        <f t="shared" si="23"/>
        <v>0</v>
      </c>
      <c r="R38" s="156">
        <f t="shared" si="11"/>
        <v>0</v>
      </c>
      <c r="S38" s="153">
        <f t="shared" si="8"/>
        <v>0</v>
      </c>
      <c r="T38" s="154">
        <f t="shared" si="9"/>
        <v>0</v>
      </c>
      <c r="U38" s="565"/>
      <c r="V38" s="521"/>
      <c r="W38" s="521"/>
      <c r="X38" s="521"/>
    </row>
    <row r="39" spans="1:24" x14ac:dyDescent="0.2">
      <c r="A39" s="82"/>
      <c r="B39" s="146" t="s">
        <v>905</v>
      </c>
      <c r="C39" s="157" t="s">
        <v>484</v>
      </c>
      <c r="D39" s="149" t="s">
        <v>928</v>
      </c>
      <c r="E39" s="149" t="s">
        <v>890</v>
      </c>
      <c r="F39" s="150">
        <f t="shared" ref="F39:Q39" si="24">((F16/100)*$S$16)*$T$2</f>
        <v>0</v>
      </c>
      <c r="G39" s="150">
        <f t="shared" si="24"/>
        <v>0</v>
      </c>
      <c r="H39" s="150">
        <f t="shared" si="24"/>
        <v>0</v>
      </c>
      <c r="I39" s="150">
        <f t="shared" si="24"/>
        <v>0</v>
      </c>
      <c r="J39" s="150">
        <f t="shared" si="24"/>
        <v>0</v>
      </c>
      <c r="K39" s="150">
        <f t="shared" si="24"/>
        <v>0</v>
      </c>
      <c r="L39" s="150">
        <f t="shared" si="24"/>
        <v>0</v>
      </c>
      <c r="M39" s="150">
        <f t="shared" si="24"/>
        <v>0</v>
      </c>
      <c r="N39" s="150">
        <f t="shared" si="24"/>
        <v>0</v>
      </c>
      <c r="O39" s="150">
        <f t="shared" si="24"/>
        <v>0</v>
      </c>
      <c r="P39" s="150">
        <f t="shared" si="24"/>
        <v>0</v>
      </c>
      <c r="Q39" s="151">
        <f t="shared" si="24"/>
        <v>0</v>
      </c>
      <c r="R39" s="156">
        <f t="shared" si="11"/>
        <v>0</v>
      </c>
      <c r="S39" s="153">
        <f t="shared" si="8"/>
        <v>0</v>
      </c>
      <c r="T39" s="154">
        <f t="shared" si="9"/>
        <v>0</v>
      </c>
      <c r="U39" s="521"/>
      <c r="V39" s="521"/>
      <c r="W39" s="521"/>
      <c r="X39" s="521"/>
    </row>
    <row r="40" spans="1:24" x14ac:dyDescent="0.2">
      <c r="A40" s="82"/>
      <c r="B40" s="146" t="s">
        <v>906</v>
      </c>
      <c r="C40" s="158"/>
      <c r="D40" s="149" t="s">
        <v>892</v>
      </c>
      <c r="E40" s="149" t="s">
        <v>890</v>
      </c>
      <c r="F40" s="150">
        <f t="shared" ref="F40:Q40" si="25">((F16/100)*$S$16)*$T$3</f>
        <v>0</v>
      </c>
      <c r="G40" s="150">
        <f t="shared" si="25"/>
        <v>0</v>
      </c>
      <c r="H40" s="150">
        <f t="shared" si="25"/>
        <v>0</v>
      </c>
      <c r="I40" s="150">
        <f t="shared" si="25"/>
        <v>0</v>
      </c>
      <c r="J40" s="150">
        <f t="shared" si="25"/>
        <v>0</v>
      </c>
      <c r="K40" s="150">
        <f t="shared" si="25"/>
        <v>0</v>
      </c>
      <c r="L40" s="150">
        <f t="shared" si="25"/>
        <v>0</v>
      </c>
      <c r="M40" s="150">
        <f t="shared" si="25"/>
        <v>0</v>
      </c>
      <c r="N40" s="150">
        <f t="shared" si="25"/>
        <v>0</v>
      </c>
      <c r="O40" s="150">
        <f t="shared" si="25"/>
        <v>0</v>
      </c>
      <c r="P40" s="150">
        <f t="shared" si="25"/>
        <v>0</v>
      </c>
      <c r="Q40" s="151">
        <f t="shared" si="25"/>
        <v>0</v>
      </c>
      <c r="R40" s="156">
        <f t="shared" si="11"/>
        <v>0</v>
      </c>
      <c r="S40" s="153">
        <f t="shared" si="8"/>
        <v>0</v>
      </c>
      <c r="T40" s="154">
        <f t="shared" si="9"/>
        <v>0</v>
      </c>
      <c r="U40" s="565"/>
      <c r="V40" s="521"/>
      <c r="W40" s="521"/>
      <c r="X40" s="521"/>
    </row>
    <row r="41" spans="1:24" x14ac:dyDescent="0.2">
      <c r="A41" s="82"/>
      <c r="B41" s="146" t="s">
        <v>907</v>
      </c>
      <c r="C41" s="157" t="s">
        <v>486</v>
      </c>
      <c r="D41" s="149" t="s">
        <v>928</v>
      </c>
      <c r="E41" s="149" t="s">
        <v>890</v>
      </c>
      <c r="F41" s="150">
        <f t="shared" ref="F41:Q41" si="26">((F17/100)*$S$17)*$T$2</f>
        <v>0</v>
      </c>
      <c r="G41" s="150">
        <f t="shared" si="26"/>
        <v>0</v>
      </c>
      <c r="H41" s="150">
        <f t="shared" si="26"/>
        <v>0</v>
      </c>
      <c r="I41" s="150">
        <f t="shared" si="26"/>
        <v>0</v>
      </c>
      <c r="J41" s="150">
        <f t="shared" si="26"/>
        <v>0</v>
      </c>
      <c r="K41" s="150">
        <f t="shared" si="26"/>
        <v>0</v>
      </c>
      <c r="L41" s="150">
        <f t="shared" si="26"/>
        <v>0</v>
      </c>
      <c r="M41" s="150">
        <f t="shared" si="26"/>
        <v>0</v>
      </c>
      <c r="N41" s="150">
        <f t="shared" si="26"/>
        <v>0</v>
      </c>
      <c r="O41" s="150">
        <f t="shared" si="26"/>
        <v>0</v>
      </c>
      <c r="P41" s="150">
        <f t="shared" si="26"/>
        <v>0</v>
      </c>
      <c r="Q41" s="151">
        <f t="shared" si="26"/>
        <v>0</v>
      </c>
      <c r="R41" s="156">
        <f t="shared" si="11"/>
        <v>0</v>
      </c>
      <c r="S41" s="153">
        <f t="shared" si="8"/>
        <v>0</v>
      </c>
      <c r="T41" s="154">
        <f t="shared" si="9"/>
        <v>0</v>
      </c>
      <c r="U41" s="521"/>
      <c r="V41" s="521"/>
      <c r="W41" s="521"/>
      <c r="X41" s="521"/>
    </row>
    <row r="42" spans="1:24" x14ac:dyDescent="0.2">
      <c r="A42" s="82"/>
      <c r="B42" s="146" t="s">
        <v>908</v>
      </c>
      <c r="C42" s="158"/>
      <c r="D42" s="149" t="s">
        <v>892</v>
      </c>
      <c r="E42" s="149" t="s">
        <v>890</v>
      </c>
      <c r="F42" s="150">
        <f t="shared" ref="F42:Q42" si="27">((F17/100)*$S$17)*$T$3</f>
        <v>0</v>
      </c>
      <c r="G42" s="150">
        <f t="shared" si="27"/>
        <v>0</v>
      </c>
      <c r="H42" s="150">
        <f t="shared" si="27"/>
        <v>0</v>
      </c>
      <c r="I42" s="150">
        <f t="shared" si="27"/>
        <v>0</v>
      </c>
      <c r="J42" s="150">
        <f t="shared" si="27"/>
        <v>0</v>
      </c>
      <c r="K42" s="150">
        <f t="shared" si="27"/>
        <v>0</v>
      </c>
      <c r="L42" s="150">
        <f t="shared" si="27"/>
        <v>0</v>
      </c>
      <c r="M42" s="150">
        <f t="shared" si="27"/>
        <v>0</v>
      </c>
      <c r="N42" s="150">
        <f t="shared" si="27"/>
        <v>0</v>
      </c>
      <c r="O42" s="150">
        <f t="shared" si="27"/>
        <v>0</v>
      </c>
      <c r="P42" s="150">
        <f t="shared" si="27"/>
        <v>0</v>
      </c>
      <c r="Q42" s="151">
        <f t="shared" si="27"/>
        <v>0</v>
      </c>
      <c r="R42" s="156">
        <f t="shared" si="11"/>
        <v>0</v>
      </c>
      <c r="S42" s="153">
        <f t="shared" si="8"/>
        <v>0</v>
      </c>
      <c r="T42" s="154">
        <f t="shared" si="9"/>
        <v>0</v>
      </c>
      <c r="U42" s="565"/>
      <c r="V42" s="521"/>
      <c r="W42" s="521"/>
      <c r="X42" s="521"/>
    </row>
    <row r="43" spans="1:24" x14ac:dyDescent="0.2">
      <c r="A43" s="82"/>
      <c r="B43" s="146" t="s">
        <v>909</v>
      </c>
      <c r="C43" s="157" t="s">
        <v>476</v>
      </c>
      <c r="D43" s="149" t="s">
        <v>928</v>
      </c>
      <c r="E43" s="149" t="s">
        <v>890</v>
      </c>
      <c r="F43" s="150">
        <f t="shared" ref="F43:Q43" si="28">((F18/100)*$S$18)*$T$2</f>
        <v>0</v>
      </c>
      <c r="G43" s="150">
        <f t="shared" si="28"/>
        <v>0</v>
      </c>
      <c r="H43" s="150">
        <f t="shared" si="28"/>
        <v>0</v>
      </c>
      <c r="I43" s="150">
        <f t="shared" si="28"/>
        <v>0</v>
      </c>
      <c r="J43" s="150">
        <f t="shared" si="28"/>
        <v>0</v>
      </c>
      <c r="K43" s="150">
        <f t="shared" si="28"/>
        <v>0</v>
      </c>
      <c r="L43" s="150">
        <f t="shared" si="28"/>
        <v>0</v>
      </c>
      <c r="M43" s="150">
        <f t="shared" si="28"/>
        <v>0</v>
      </c>
      <c r="N43" s="150">
        <f t="shared" si="28"/>
        <v>0</v>
      </c>
      <c r="O43" s="150">
        <f t="shared" si="28"/>
        <v>0</v>
      </c>
      <c r="P43" s="150">
        <f t="shared" si="28"/>
        <v>0</v>
      </c>
      <c r="Q43" s="151">
        <f t="shared" si="28"/>
        <v>0</v>
      </c>
      <c r="R43" s="156">
        <f t="shared" si="11"/>
        <v>0</v>
      </c>
      <c r="S43" s="153">
        <f t="shared" si="8"/>
        <v>0</v>
      </c>
      <c r="T43" s="154">
        <f t="shared" si="9"/>
        <v>0</v>
      </c>
      <c r="U43" s="521"/>
      <c r="V43" s="521"/>
      <c r="W43" s="521"/>
      <c r="X43" s="521"/>
    </row>
    <row r="44" spans="1:24" x14ac:dyDescent="0.2">
      <c r="A44" s="82"/>
      <c r="B44" s="146" t="s">
        <v>910</v>
      </c>
      <c r="C44" s="158"/>
      <c r="D44" s="149" t="s">
        <v>892</v>
      </c>
      <c r="E44" s="149" t="s">
        <v>890</v>
      </c>
      <c r="F44" s="150">
        <f t="shared" ref="F44:Q44" si="29">((F18/100)*$S$18)*$T$3</f>
        <v>0</v>
      </c>
      <c r="G44" s="150">
        <f t="shared" si="29"/>
        <v>0</v>
      </c>
      <c r="H44" s="150">
        <f t="shared" si="29"/>
        <v>0</v>
      </c>
      <c r="I44" s="150">
        <f t="shared" si="29"/>
        <v>0</v>
      </c>
      <c r="J44" s="150">
        <f t="shared" si="29"/>
        <v>0</v>
      </c>
      <c r="K44" s="150">
        <f t="shared" si="29"/>
        <v>0</v>
      </c>
      <c r="L44" s="150">
        <f t="shared" si="29"/>
        <v>0</v>
      </c>
      <c r="M44" s="150">
        <f t="shared" si="29"/>
        <v>0</v>
      </c>
      <c r="N44" s="150">
        <f t="shared" si="29"/>
        <v>0</v>
      </c>
      <c r="O44" s="150">
        <f t="shared" si="29"/>
        <v>0</v>
      </c>
      <c r="P44" s="150">
        <f t="shared" si="29"/>
        <v>0</v>
      </c>
      <c r="Q44" s="151">
        <f t="shared" si="29"/>
        <v>0</v>
      </c>
      <c r="R44" s="156">
        <f t="shared" si="11"/>
        <v>0</v>
      </c>
      <c r="S44" s="153">
        <f t="shared" si="8"/>
        <v>0</v>
      </c>
      <c r="T44" s="154">
        <f t="shared" si="9"/>
        <v>0</v>
      </c>
      <c r="U44" s="565"/>
      <c r="V44" s="521"/>
      <c r="W44" s="521"/>
      <c r="X44" s="521"/>
    </row>
    <row r="45" spans="1:24" x14ac:dyDescent="0.2">
      <c r="A45" s="82"/>
      <c r="B45" s="146" t="s">
        <v>911</v>
      </c>
      <c r="C45" s="157" t="s">
        <v>772</v>
      </c>
      <c r="D45" s="149" t="s">
        <v>928</v>
      </c>
      <c r="E45" s="149" t="s">
        <v>890</v>
      </c>
      <c r="F45" s="150">
        <f t="shared" ref="F45:Q45" si="30">((F19/100)*$S$19)*$T$2</f>
        <v>0</v>
      </c>
      <c r="G45" s="150">
        <f t="shared" si="30"/>
        <v>0</v>
      </c>
      <c r="H45" s="150">
        <f t="shared" si="30"/>
        <v>0</v>
      </c>
      <c r="I45" s="150">
        <f t="shared" si="30"/>
        <v>0</v>
      </c>
      <c r="J45" s="150">
        <f t="shared" si="30"/>
        <v>0</v>
      </c>
      <c r="K45" s="150">
        <f t="shared" si="30"/>
        <v>0</v>
      </c>
      <c r="L45" s="150">
        <f t="shared" si="30"/>
        <v>0</v>
      </c>
      <c r="M45" s="150">
        <f t="shared" si="30"/>
        <v>0</v>
      </c>
      <c r="N45" s="150">
        <f t="shared" si="30"/>
        <v>0</v>
      </c>
      <c r="O45" s="150">
        <f t="shared" si="30"/>
        <v>0</v>
      </c>
      <c r="P45" s="150">
        <f t="shared" si="30"/>
        <v>0</v>
      </c>
      <c r="Q45" s="151">
        <f t="shared" si="30"/>
        <v>0</v>
      </c>
      <c r="R45" s="156">
        <f t="shared" si="11"/>
        <v>0</v>
      </c>
      <c r="S45" s="153">
        <f t="shared" si="8"/>
        <v>0</v>
      </c>
      <c r="T45" s="154">
        <f t="shared" si="9"/>
        <v>0</v>
      </c>
      <c r="U45" s="521"/>
      <c r="V45" s="521"/>
      <c r="W45" s="521"/>
      <c r="X45" s="521"/>
    </row>
    <row r="46" spans="1:24" x14ac:dyDescent="0.2">
      <c r="A46" s="82"/>
      <c r="B46" s="146" t="s">
        <v>912</v>
      </c>
      <c r="C46" s="158"/>
      <c r="D46" s="149" t="s">
        <v>892</v>
      </c>
      <c r="E46" s="149" t="s">
        <v>890</v>
      </c>
      <c r="F46" s="150">
        <f t="shared" ref="F46:Q46" si="31">((F19/100)*$S$19)*$T$3</f>
        <v>0</v>
      </c>
      <c r="G46" s="150">
        <f t="shared" si="31"/>
        <v>0</v>
      </c>
      <c r="H46" s="150">
        <f t="shared" si="31"/>
        <v>0</v>
      </c>
      <c r="I46" s="150">
        <f t="shared" si="31"/>
        <v>0</v>
      </c>
      <c r="J46" s="150">
        <f t="shared" si="31"/>
        <v>0</v>
      </c>
      <c r="K46" s="150">
        <f t="shared" si="31"/>
        <v>0</v>
      </c>
      <c r="L46" s="150">
        <f t="shared" si="31"/>
        <v>0</v>
      </c>
      <c r="M46" s="150">
        <f t="shared" si="31"/>
        <v>0</v>
      </c>
      <c r="N46" s="150">
        <f t="shared" si="31"/>
        <v>0</v>
      </c>
      <c r="O46" s="150">
        <f t="shared" si="31"/>
        <v>0</v>
      </c>
      <c r="P46" s="150">
        <f t="shared" si="31"/>
        <v>0</v>
      </c>
      <c r="Q46" s="151">
        <f t="shared" si="31"/>
        <v>0</v>
      </c>
      <c r="R46" s="156">
        <f t="shared" si="11"/>
        <v>0</v>
      </c>
      <c r="S46" s="153">
        <f t="shared" si="8"/>
        <v>0</v>
      </c>
      <c r="T46" s="154">
        <f t="shared" si="9"/>
        <v>0</v>
      </c>
      <c r="U46" s="565"/>
      <c r="V46" s="521"/>
      <c r="W46" s="521"/>
      <c r="X46" s="521"/>
    </row>
    <row r="47" spans="1:24" x14ac:dyDescent="0.2">
      <c r="A47" s="82"/>
      <c r="B47" s="159"/>
      <c r="C47" s="160"/>
      <c r="D47" s="160"/>
      <c r="E47" s="160"/>
      <c r="F47" s="161"/>
      <c r="G47" s="161"/>
      <c r="H47" s="161"/>
      <c r="I47" s="161"/>
      <c r="J47" s="161"/>
      <c r="K47" s="161"/>
      <c r="L47" s="161"/>
      <c r="M47" s="161"/>
      <c r="N47" s="161"/>
      <c r="O47" s="161"/>
      <c r="P47" s="161"/>
      <c r="Q47" s="162"/>
      <c r="R47" s="161"/>
      <c r="S47" s="161"/>
      <c r="T47" s="163"/>
      <c r="U47" s="521"/>
      <c r="V47" s="521"/>
      <c r="W47" s="521"/>
      <c r="X47" s="521"/>
    </row>
    <row r="48" spans="1:24" x14ac:dyDescent="0.2">
      <c r="A48" s="82"/>
      <c r="B48" s="146" t="s">
        <v>913</v>
      </c>
      <c r="C48" s="157" t="s">
        <v>883</v>
      </c>
      <c r="D48" s="155" t="s">
        <v>928</v>
      </c>
      <c r="E48" s="155" t="s">
        <v>890</v>
      </c>
      <c r="F48" s="164">
        <f t="shared" ref="F48:T48" si="32">SUMIF($D$25:$D$46,"TESOURO",F$25:F$46)</f>
        <v>0</v>
      </c>
      <c r="G48" s="164">
        <f t="shared" si="32"/>
        <v>0</v>
      </c>
      <c r="H48" s="164">
        <f t="shared" si="32"/>
        <v>0</v>
      </c>
      <c r="I48" s="164">
        <f t="shared" si="32"/>
        <v>0</v>
      </c>
      <c r="J48" s="164">
        <f t="shared" si="32"/>
        <v>0</v>
      </c>
      <c r="K48" s="164">
        <f t="shared" si="32"/>
        <v>0</v>
      </c>
      <c r="L48" s="164">
        <f t="shared" si="32"/>
        <v>0</v>
      </c>
      <c r="M48" s="164">
        <f t="shared" si="32"/>
        <v>0</v>
      </c>
      <c r="N48" s="164">
        <f t="shared" si="32"/>
        <v>0</v>
      </c>
      <c r="O48" s="164">
        <f t="shared" si="32"/>
        <v>0</v>
      </c>
      <c r="P48" s="164">
        <f t="shared" si="32"/>
        <v>0</v>
      </c>
      <c r="Q48" s="165">
        <f t="shared" si="32"/>
        <v>0</v>
      </c>
      <c r="R48" s="166"/>
      <c r="S48" s="167">
        <f t="shared" si="32"/>
        <v>0</v>
      </c>
      <c r="T48" s="168">
        <f t="shared" si="32"/>
        <v>0</v>
      </c>
      <c r="U48" s="521"/>
      <c r="V48" s="521"/>
      <c r="W48" s="521"/>
      <c r="X48" s="521"/>
    </row>
    <row r="49" spans="1:24" x14ac:dyDescent="0.2">
      <c r="A49" s="82"/>
      <c r="B49" s="146" t="s">
        <v>914</v>
      </c>
      <c r="C49" s="158"/>
      <c r="D49" s="169" t="s">
        <v>892</v>
      </c>
      <c r="E49" s="169" t="s">
        <v>890</v>
      </c>
      <c r="F49" s="164">
        <f t="shared" ref="F49:T49" si="33">SUMIF($D$25:$D$46,"CONTRAPARTIDA",F$25:F$46)</f>
        <v>0</v>
      </c>
      <c r="G49" s="164">
        <f t="shared" si="33"/>
        <v>0</v>
      </c>
      <c r="H49" s="164">
        <f t="shared" si="33"/>
        <v>0</v>
      </c>
      <c r="I49" s="164">
        <f t="shared" si="33"/>
        <v>0</v>
      </c>
      <c r="J49" s="164">
        <f t="shared" si="33"/>
        <v>0</v>
      </c>
      <c r="K49" s="164">
        <f t="shared" si="33"/>
        <v>0</v>
      </c>
      <c r="L49" s="164">
        <f t="shared" si="33"/>
        <v>0</v>
      </c>
      <c r="M49" s="164">
        <f t="shared" si="33"/>
        <v>0</v>
      </c>
      <c r="N49" s="164">
        <f t="shared" si="33"/>
        <v>0</v>
      </c>
      <c r="O49" s="164">
        <f t="shared" si="33"/>
        <v>0</v>
      </c>
      <c r="P49" s="164">
        <f t="shared" si="33"/>
        <v>0</v>
      </c>
      <c r="Q49" s="165">
        <f t="shared" si="33"/>
        <v>0</v>
      </c>
      <c r="R49" s="170"/>
      <c r="S49" s="167">
        <f t="shared" si="33"/>
        <v>0</v>
      </c>
      <c r="T49" s="168">
        <f t="shared" si="33"/>
        <v>0</v>
      </c>
      <c r="U49" s="521"/>
      <c r="V49" s="521"/>
      <c r="W49" s="521"/>
      <c r="X49" s="521"/>
    </row>
    <row r="50" spans="1:24" x14ac:dyDescent="0.2">
      <c r="A50" s="82"/>
      <c r="B50" s="171"/>
      <c r="C50" s="160"/>
      <c r="D50" s="160"/>
      <c r="E50" s="160"/>
      <c r="F50" s="161"/>
      <c r="G50" s="161"/>
      <c r="H50" s="161"/>
      <c r="I50" s="161"/>
      <c r="J50" s="161"/>
      <c r="K50" s="161"/>
      <c r="L50" s="161"/>
      <c r="M50" s="161"/>
      <c r="N50" s="161"/>
      <c r="O50" s="161"/>
      <c r="P50" s="161"/>
      <c r="Q50" s="162"/>
      <c r="R50" s="161"/>
      <c r="S50" s="172"/>
      <c r="T50" s="173"/>
      <c r="U50" s="521"/>
      <c r="V50" s="521"/>
      <c r="W50" s="521"/>
      <c r="X50" s="521"/>
    </row>
    <row r="51" spans="1:24" ht="15" customHeight="1" thickBot="1" x14ac:dyDescent="0.25">
      <c r="A51" s="82"/>
      <c r="B51" s="174" t="s">
        <v>915</v>
      </c>
      <c r="C51" s="566"/>
      <c r="D51" s="566"/>
      <c r="E51" s="567" t="s">
        <v>890</v>
      </c>
      <c r="F51" s="175">
        <f t="shared" ref="F51:Q51" si="34">SUM(F48:F49)</f>
        <v>0</v>
      </c>
      <c r="G51" s="175">
        <f t="shared" si="34"/>
        <v>0</v>
      </c>
      <c r="H51" s="175">
        <f t="shared" si="34"/>
        <v>0</v>
      </c>
      <c r="I51" s="175">
        <f t="shared" si="34"/>
        <v>0</v>
      </c>
      <c r="J51" s="175">
        <f t="shared" si="34"/>
        <v>0</v>
      </c>
      <c r="K51" s="175">
        <f t="shared" si="34"/>
        <v>0</v>
      </c>
      <c r="L51" s="176">
        <f t="shared" si="34"/>
        <v>0</v>
      </c>
      <c r="M51" s="176">
        <f t="shared" si="34"/>
        <v>0</v>
      </c>
      <c r="N51" s="176">
        <f t="shared" si="34"/>
        <v>0</v>
      </c>
      <c r="O51" s="176">
        <f t="shared" si="34"/>
        <v>0</v>
      </c>
      <c r="P51" s="176">
        <f t="shared" si="34"/>
        <v>0</v>
      </c>
      <c r="Q51" s="177">
        <f t="shared" si="34"/>
        <v>0</v>
      </c>
      <c r="R51" s="178"/>
      <c r="S51" s="179">
        <f>SUM(F51:Q51)</f>
        <v>0</v>
      </c>
      <c r="T51" s="180">
        <f>SUM(T48:T49)</f>
        <v>0</v>
      </c>
      <c r="U51" s="521"/>
      <c r="V51" s="521"/>
      <c r="W51" s="521"/>
      <c r="X51" s="521"/>
    </row>
    <row r="52" spans="1:24" ht="15" customHeight="1" thickTop="1" thickBot="1" x14ac:dyDescent="0.25">
      <c r="A52" s="82"/>
      <c r="B52" s="181" t="s">
        <v>916</v>
      </c>
      <c r="C52" s="568"/>
      <c r="D52" s="568"/>
      <c r="E52" s="569" t="s">
        <v>890</v>
      </c>
      <c r="F52" s="182">
        <f t="shared" ref="F52:Q52" si="35">IF($S$51=0,0,F51/$S$51)</f>
        <v>0</v>
      </c>
      <c r="G52" s="182">
        <f t="shared" si="35"/>
        <v>0</v>
      </c>
      <c r="H52" s="182">
        <f t="shared" si="35"/>
        <v>0</v>
      </c>
      <c r="I52" s="182">
        <f t="shared" si="35"/>
        <v>0</v>
      </c>
      <c r="J52" s="182">
        <f t="shared" si="35"/>
        <v>0</v>
      </c>
      <c r="K52" s="182">
        <f t="shared" si="35"/>
        <v>0</v>
      </c>
      <c r="L52" s="182">
        <f t="shared" si="35"/>
        <v>0</v>
      </c>
      <c r="M52" s="182">
        <f t="shared" si="35"/>
        <v>0</v>
      </c>
      <c r="N52" s="182">
        <f t="shared" si="35"/>
        <v>0</v>
      </c>
      <c r="O52" s="182">
        <f t="shared" si="35"/>
        <v>0</v>
      </c>
      <c r="P52" s="182">
        <f t="shared" si="35"/>
        <v>0</v>
      </c>
      <c r="Q52" s="183">
        <f t="shared" si="35"/>
        <v>0</v>
      </c>
      <c r="R52" s="184"/>
      <c r="S52" s="179">
        <f>S48+S49</f>
        <v>0</v>
      </c>
      <c r="T52" s="185">
        <f>SUM(F52:Q52)</f>
        <v>0</v>
      </c>
      <c r="U52" s="521"/>
      <c r="V52" s="521"/>
      <c r="W52" s="521"/>
      <c r="X52" s="521"/>
    </row>
    <row r="53" spans="1:24" ht="15" customHeight="1" thickTop="1" thickBot="1" x14ac:dyDescent="0.25">
      <c r="A53" s="82"/>
      <c r="B53" s="186" t="s">
        <v>917</v>
      </c>
      <c r="C53" s="570"/>
      <c r="D53" s="570"/>
      <c r="E53" s="571" t="s">
        <v>890</v>
      </c>
      <c r="F53" s="187">
        <f>F52</f>
        <v>0</v>
      </c>
      <c r="G53" s="187">
        <f t="shared" ref="G53:H53" si="36">IF(G51=0,0,F53+G52)</f>
        <v>0</v>
      </c>
      <c r="H53" s="187">
        <f t="shared" si="36"/>
        <v>0</v>
      </c>
      <c r="I53" s="187">
        <f>IF(I51=0,0,H53+I52)</f>
        <v>0</v>
      </c>
      <c r="J53" s="187">
        <f t="shared" ref="J53:Q53" si="37">IF(J51=0,0,I53+J52)</f>
        <v>0</v>
      </c>
      <c r="K53" s="187">
        <f t="shared" si="37"/>
        <v>0</v>
      </c>
      <c r="L53" s="187">
        <f t="shared" si="37"/>
        <v>0</v>
      </c>
      <c r="M53" s="187">
        <f t="shared" si="37"/>
        <v>0</v>
      </c>
      <c r="N53" s="187">
        <f t="shared" si="37"/>
        <v>0</v>
      </c>
      <c r="O53" s="187">
        <f t="shared" si="37"/>
        <v>0</v>
      </c>
      <c r="P53" s="187">
        <f t="shared" si="37"/>
        <v>0</v>
      </c>
      <c r="Q53" s="188">
        <f t="shared" si="37"/>
        <v>0</v>
      </c>
      <c r="R53" s="189"/>
      <c r="S53" s="190" t="str">
        <f>IF(S51=S52,"OK","CORRIGIR")</f>
        <v>OK</v>
      </c>
      <c r="T53" s="191" t="str">
        <f>IF(T51=T52,"OK","CORRIGIR")</f>
        <v>OK</v>
      </c>
      <c r="U53" s="521"/>
      <c r="V53" s="521"/>
      <c r="W53" s="521"/>
      <c r="X53" s="521"/>
    </row>
    <row r="54" spans="1:24" ht="15" customHeight="1" x14ac:dyDescent="0.2">
      <c r="A54" s="82"/>
      <c r="B54" s="192" t="s">
        <v>918</v>
      </c>
      <c r="C54" s="193"/>
      <c r="D54" s="194"/>
      <c r="E54" s="195"/>
      <c r="F54" s="193" t="s">
        <v>919</v>
      </c>
      <c r="G54" s="196"/>
      <c r="H54" s="196"/>
      <c r="I54" s="197"/>
      <c r="J54" s="198" t="s">
        <v>920</v>
      </c>
      <c r="K54" s="199"/>
      <c r="L54" s="199"/>
      <c r="M54" s="200"/>
      <c r="N54" s="201" t="s">
        <v>919</v>
      </c>
      <c r="O54" s="202"/>
      <c r="P54" s="203"/>
      <c r="Q54" s="193" t="s">
        <v>921</v>
      </c>
      <c r="R54" s="572"/>
      <c r="S54" s="572"/>
      <c r="T54" s="573"/>
      <c r="U54" s="521"/>
      <c r="V54" s="521"/>
      <c r="W54" s="521"/>
      <c r="X54" s="521"/>
    </row>
    <row r="55" spans="1:24" ht="19.5" customHeight="1" thickBot="1" x14ac:dyDescent="0.25">
      <c r="A55" s="82"/>
      <c r="B55" s="574"/>
      <c r="C55" s="575"/>
      <c r="D55" s="576"/>
      <c r="E55" s="577"/>
      <c r="F55" s="577"/>
      <c r="G55" s="578" t="s">
        <v>922</v>
      </c>
      <c r="H55" s="577"/>
      <c r="I55" s="579"/>
      <c r="J55" s="580"/>
      <c r="K55" s="581"/>
      <c r="L55" s="582"/>
      <c r="M55" s="583"/>
      <c r="N55" s="584"/>
      <c r="O55" s="585" t="s">
        <v>923</v>
      </c>
      <c r="P55" s="586"/>
      <c r="Q55" s="587"/>
      <c r="R55" s="204"/>
      <c r="S55" s="204"/>
      <c r="T55" s="588"/>
      <c r="U55" s="521"/>
      <c r="V55" s="521"/>
      <c r="W55" s="521"/>
      <c r="X55" s="521"/>
    </row>
  </sheetData>
  <pageMargins left="0.78740157480314965" right="0.78740157480314965" top="0.78740157480314965" bottom="0.78740157480314965" header="0.51181102362204722" footer="0.51181102362204722"/>
  <pageSetup paperSize="8" fitToHeight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X55"/>
  <sheetViews>
    <sheetView showZeros="0" topLeftCell="B1" zoomScaleNormal="100" workbookViewId="0">
      <selection activeCell="W1" sqref="W1"/>
    </sheetView>
  </sheetViews>
  <sheetFormatPr defaultColWidth="10.6640625" defaultRowHeight="12.75" x14ac:dyDescent="0.2"/>
  <cols>
    <col min="1" max="1" width="5" style="31" hidden="1" customWidth="1"/>
    <col min="2" max="2" width="13.1640625" style="31" customWidth="1"/>
    <col min="3" max="3" width="26.1640625" style="31" customWidth="1"/>
    <col min="4" max="4" width="17.6640625" style="31" customWidth="1"/>
    <col min="5" max="5" width="3.83203125" style="31" customWidth="1"/>
    <col min="6" max="15" width="12.5" style="31" customWidth="1"/>
    <col min="16" max="17" width="13.83203125" style="31" customWidth="1"/>
    <col min="18" max="18" width="8.33203125" style="31" bestFit="1" customWidth="1"/>
    <col min="19" max="19" width="14" style="31" customWidth="1"/>
    <col min="20" max="20" width="8.5" style="31" customWidth="1"/>
    <col min="21" max="22" width="0.6640625" style="31" customWidth="1"/>
    <col min="23" max="259" width="10.6640625" style="31"/>
    <col min="260" max="260" width="13.1640625" style="31" customWidth="1"/>
    <col min="261" max="261" width="79" style="31" customWidth="1"/>
    <col min="262" max="262" width="3.83203125" style="31" customWidth="1"/>
    <col min="263" max="275" width="12.5" style="31" customWidth="1"/>
    <col min="276" max="276" width="8.5" style="31" customWidth="1"/>
    <col min="277" max="515" width="10.6640625" style="31"/>
    <col min="516" max="516" width="13.1640625" style="31" customWidth="1"/>
    <col min="517" max="517" width="79" style="31" customWidth="1"/>
    <col min="518" max="518" width="3.83203125" style="31" customWidth="1"/>
    <col min="519" max="531" width="12.5" style="31" customWidth="1"/>
    <col min="532" max="532" width="8.5" style="31" customWidth="1"/>
    <col min="533" max="771" width="10.6640625" style="31"/>
    <col min="772" max="772" width="13.1640625" style="31" customWidth="1"/>
    <col min="773" max="773" width="79" style="31" customWidth="1"/>
    <col min="774" max="774" width="3.83203125" style="31" customWidth="1"/>
    <col min="775" max="787" width="12.5" style="31" customWidth="1"/>
    <col min="788" max="788" width="8.5" style="31" customWidth="1"/>
    <col min="789" max="1027" width="10.6640625" style="31"/>
    <col min="1028" max="1028" width="13.1640625" style="31" customWidth="1"/>
    <col min="1029" max="1029" width="79" style="31" customWidth="1"/>
    <col min="1030" max="1030" width="3.83203125" style="31" customWidth="1"/>
    <col min="1031" max="1043" width="12.5" style="31" customWidth="1"/>
    <col min="1044" max="1044" width="8.5" style="31" customWidth="1"/>
    <col min="1045" max="1283" width="10.6640625" style="31"/>
    <col min="1284" max="1284" width="13.1640625" style="31" customWidth="1"/>
    <col min="1285" max="1285" width="79" style="31" customWidth="1"/>
    <col min="1286" max="1286" width="3.83203125" style="31" customWidth="1"/>
    <col min="1287" max="1299" width="12.5" style="31" customWidth="1"/>
    <col min="1300" max="1300" width="8.5" style="31" customWidth="1"/>
    <col min="1301" max="1539" width="10.6640625" style="31"/>
    <col min="1540" max="1540" width="13.1640625" style="31" customWidth="1"/>
    <col min="1541" max="1541" width="79" style="31" customWidth="1"/>
    <col min="1542" max="1542" width="3.83203125" style="31" customWidth="1"/>
    <col min="1543" max="1555" width="12.5" style="31" customWidth="1"/>
    <col min="1556" max="1556" width="8.5" style="31" customWidth="1"/>
    <col min="1557" max="1795" width="10.6640625" style="31"/>
    <col min="1796" max="1796" width="13.1640625" style="31" customWidth="1"/>
    <col min="1797" max="1797" width="79" style="31" customWidth="1"/>
    <col min="1798" max="1798" width="3.83203125" style="31" customWidth="1"/>
    <col min="1799" max="1811" width="12.5" style="31" customWidth="1"/>
    <col min="1812" max="1812" width="8.5" style="31" customWidth="1"/>
    <col min="1813" max="2051" width="10.6640625" style="31"/>
    <col min="2052" max="2052" width="13.1640625" style="31" customWidth="1"/>
    <col min="2053" max="2053" width="79" style="31" customWidth="1"/>
    <col min="2054" max="2054" width="3.83203125" style="31" customWidth="1"/>
    <col min="2055" max="2067" width="12.5" style="31" customWidth="1"/>
    <col min="2068" max="2068" width="8.5" style="31" customWidth="1"/>
    <col min="2069" max="2307" width="10.6640625" style="31"/>
    <col min="2308" max="2308" width="13.1640625" style="31" customWidth="1"/>
    <col min="2309" max="2309" width="79" style="31" customWidth="1"/>
    <col min="2310" max="2310" width="3.83203125" style="31" customWidth="1"/>
    <col min="2311" max="2323" width="12.5" style="31" customWidth="1"/>
    <col min="2324" max="2324" width="8.5" style="31" customWidth="1"/>
    <col min="2325" max="2563" width="10.6640625" style="31"/>
    <col min="2564" max="2564" width="13.1640625" style="31" customWidth="1"/>
    <col min="2565" max="2565" width="79" style="31" customWidth="1"/>
    <col min="2566" max="2566" width="3.83203125" style="31" customWidth="1"/>
    <col min="2567" max="2579" width="12.5" style="31" customWidth="1"/>
    <col min="2580" max="2580" width="8.5" style="31" customWidth="1"/>
    <col min="2581" max="2819" width="10.6640625" style="31"/>
    <col min="2820" max="2820" width="13.1640625" style="31" customWidth="1"/>
    <col min="2821" max="2821" width="79" style="31" customWidth="1"/>
    <col min="2822" max="2822" width="3.83203125" style="31" customWidth="1"/>
    <col min="2823" max="2835" width="12.5" style="31" customWidth="1"/>
    <col min="2836" max="2836" width="8.5" style="31" customWidth="1"/>
    <col min="2837" max="3075" width="10.6640625" style="31"/>
    <col min="3076" max="3076" width="13.1640625" style="31" customWidth="1"/>
    <col min="3077" max="3077" width="79" style="31" customWidth="1"/>
    <col min="3078" max="3078" width="3.83203125" style="31" customWidth="1"/>
    <col min="3079" max="3091" width="12.5" style="31" customWidth="1"/>
    <col min="3092" max="3092" width="8.5" style="31" customWidth="1"/>
    <col min="3093" max="3331" width="10.6640625" style="31"/>
    <col min="3332" max="3332" width="13.1640625" style="31" customWidth="1"/>
    <col min="3333" max="3333" width="79" style="31" customWidth="1"/>
    <col min="3334" max="3334" width="3.83203125" style="31" customWidth="1"/>
    <col min="3335" max="3347" width="12.5" style="31" customWidth="1"/>
    <col min="3348" max="3348" width="8.5" style="31" customWidth="1"/>
    <col min="3349" max="3587" width="10.6640625" style="31"/>
    <col min="3588" max="3588" width="13.1640625" style="31" customWidth="1"/>
    <col min="3589" max="3589" width="79" style="31" customWidth="1"/>
    <col min="3590" max="3590" width="3.83203125" style="31" customWidth="1"/>
    <col min="3591" max="3603" width="12.5" style="31" customWidth="1"/>
    <col min="3604" max="3604" width="8.5" style="31" customWidth="1"/>
    <col min="3605" max="3843" width="10.6640625" style="31"/>
    <col min="3844" max="3844" width="13.1640625" style="31" customWidth="1"/>
    <col min="3845" max="3845" width="79" style="31" customWidth="1"/>
    <col min="3846" max="3846" width="3.83203125" style="31" customWidth="1"/>
    <col min="3847" max="3859" width="12.5" style="31" customWidth="1"/>
    <col min="3860" max="3860" width="8.5" style="31" customWidth="1"/>
    <col min="3861" max="4099" width="10.6640625" style="31"/>
    <col min="4100" max="4100" width="13.1640625" style="31" customWidth="1"/>
    <col min="4101" max="4101" width="79" style="31" customWidth="1"/>
    <col min="4102" max="4102" width="3.83203125" style="31" customWidth="1"/>
    <col min="4103" max="4115" width="12.5" style="31" customWidth="1"/>
    <col min="4116" max="4116" width="8.5" style="31" customWidth="1"/>
    <col min="4117" max="4355" width="10.6640625" style="31"/>
    <col min="4356" max="4356" width="13.1640625" style="31" customWidth="1"/>
    <col min="4357" max="4357" width="79" style="31" customWidth="1"/>
    <col min="4358" max="4358" width="3.83203125" style="31" customWidth="1"/>
    <col min="4359" max="4371" width="12.5" style="31" customWidth="1"/>
    <col min="4372" max="4372" width="8.5" style="31" customWidth="1"/>
    <col min="4373" max="4611" width="10.6640625" style="31"/>
    <col min="4612" max="4612" width="13.1640625" style="31" customWidth="1"/>
    <col min="4613" max="4613" width="79" style="31" customWidth="1"/>
    <col min="4614" max="4614" width="3.83203125" style="31" customWidth="1"/>
    <col min="4615" max="4627" width="12.5" style="31" customWidth="1"/>
    <col min="4628" max="4628" width="8.5" style="31" customWidth="1"/>
    <col min="4629" max="4867" width="10.6640625" style="31"/>
    <col min="4868" max="4868" width="13.1640625" style="31" customWidth="1"/>
    <col min="4869" max="4869" width="79" style="31" customWidth="1"/>
    <col min="4870" max="4870" width="3.83203125" style="31" customWidth="1"/>
    <col min="4871" max="4883" width="12.5" style="31" customWidth="1"/>
    <col min="4884" max="4884" width="8.5" style="31" customWidth="1"/>
    <col min="4885" max="5123" width="10.6640625" style="31"/>
    <col min="5124" max="5124" width="13.1640625" style="31" customWidth="1"/>
    <col min="5125" max="5125" width="79" style="31" customWidth="1"/>
    <col min="5126" max="5126" width="3.83203125" style="31" customWidth="1"/>
    <col min="5127" max="5139" width="12.5" style="31" customWidth="1"/>
    <col min="5140" max="5140" width="8.5" style="31" customWidth="1"/>
    <col min="5141" max="5379" width="10.6640625" style="31"/>
    <col min="5380" max="5380" width="13.1640625" style="31" customWidth="1"/>
    <col min="5381" max="5381" width="79" style="31" customWidth="1"/>
    <col min="5382" max="5382" width="3.83203125" style="31" customWidth="1"/>
    <col min="5383" max="5395" width="12.5" style="31" customWidth="1"/>
    <col min="5396" max="5396" width="8.5" style="31" customWidth="1"/>
    <col min="5397" max="5635" width="10.6640625" style="31"/>
    <col min="5636" max="5636" width="13.1640625" style="31" customWidth="1"/>
    <col min="5637" max="5637" width="79" style="31" customWidth="1"/>
    <col min="5638" max="5638" width="3.83203125" style="31" customWidth="1"/>
    <col min="5639" max="5651" width="12.5" style="31" customWidth="1"/>
    <col min="5652" max="5652" width="8.5" style="31" customWidth="1"/>
    <col min="5653" max="5891" width="10.6640625" style="31"/>
    <col min="5892" max="5892" width="13.1640625" style="31" customWidth="1"/>
    <col min="5893" max="5893" width="79" style="31" customWidth="1"/>
    <col min="5894" max="5894" width="3.83203125" style="31" customWidth="1"/>
    <col min="5895" max="5907" width="12.5" style="31" customWidth="1"/>
    <col min="5908" max="5908" width="8.5" style="31" customWidth="1"/>
    <col min="5909" max="6147" width="10.6640625" style="31"/>
    <col min="6148" max="6148" width="13.1640625" style="31" customWidth="1"/>
    <col min="6149" max="6149" width="79" style="31" customWidth="1"/>
    <col min="6150" max="6150" width="3.83203125" style="31" customWidth="1"/>
    <col min="6151" max="6163" width="12.5" style="31" customWidth="1"/>
    <col min="6164" max="6164" width="8.5" style="31" customWidth="1"/>
    <col min="6165" max="6403" width="10.6640625" style="31"/>
    <col min="6404" max="6404" width="13.1640625" style="31" customWidth="1"/>
    <col min="6405" max="6405" width="79" style="31" customWidth="1"/>
    <col min="6406" max="6406" width="3.83203125" style="31" customWidth="1"/>
    <col min="6407" max="6419" width="12.5" style="31" customWidth="1"/>
    <col min="6420" max="6420" width="8.5" style="31" customWidth="1"/>
    <col min="6421" max="6659" width="10.6640625" style="31"/>
    <col min="6660" max="6660" width="13.1640625" style="31" customWidth="1"/>
    <col min="6661" max="6661" width="79" style="31" customWidth="1"/>
    <col min="6662" max="6662" width="3.83203125" style="31" customWidth="1"/>
    <col min="6663" max="6675" width="12.5" style="31" customWidth="1"/>
    <col min="6676" max="6676" width="8.5" style="31" customWidth="1"/>
    <col min="6677" max="6915" width="10.6640625" style="31"/>
    <col min="6916" max="6916" width="13.1640625" style="31" customWidth="1"/>
    <col min="6917" max="6917" width="79" style="31" customWidth="1"/>
    <col min="6918" max="6918" width="3.83203125" style="31" customWidth="1"/>
    <col min="6919" max="6931" width="12.5" style="31" customWidth="1"/>
    <col min="6932" max="6932" width="8.5" style="31" customWidth="1"/>
    <col min="6933" max="7171" width="10.6640625" style="31"/>
    <col min="7172" max="7172" width="13.1640625" style="31" customWidth="1"/>
    <col min="7173" max="7173" width="79" style="31" customWidth="1"/>
    <col min="7174" max="7174" width="3.83203125" style="31" customWidth="1"/>
    <col min="7175" max="7187" width="12.5" style="31" customWidth="1"/>
    <col min="7188" max="7188" width="8.5" style="31" customWidth="1"/>
    <col min="7189" max="7427" width="10.6640625" style="31"/>
    <col min="7428" max="7428" width="13.1640625" style="31" customWidth="1"/>
    <col min="7429" max="7429" width="79" style="31" customWidth="1"/>
    <col min="7430" max="7430" width="3.83203125" style="31" customWidth="1"/>
    <col min="7431" max="7443" width="12.5" style="31" customWidth="1"/>
    <col min="7444" max="7444" width="8.5" style="31" customWidth="1"/>
    <col min="7445" max="7683" width="10.6640625" style="31"/>
    <col min="7684" max="7684" width="13.1640625" style="31" customWidth="1"/>
    <col min="7685" max="7685" width="79" style="31" customWidth="1"/>
    <col min="7686" max="7686" width="3.83203125" style="31" customWidth="1"/>
    <col min="7687" max="7699" width="12.5" style="31" customWidth="1"/>
    <col min="7700" max="7700" width="8.5" style="31" customWidth="1"/>
    <col min="7701" max="7939" width="10.6640625" style="31"/>
    <col min="7940" max="7940" width="13.1640625" style="31" customWidth="1"/>
    <col min="7941" max="7941" width="79" style="31" customWidth="1"/>
    <col min="7942" max="7942" width="3.83203125" style="31" customWidth="1"/>
    <col min="7943" max="7955" width="12.5" style="31" customWidth="1"/>
    <col min="7956" max="7956" width="8.5" style="31" customWidth="1"/>
    <col min="7957" max="8195" width="10.6640625" style="31"/>
    <col min="8196" max="8196" width="13.1640625" style="31" customWidth="1"/>
    <col min="8197" max="8197" width="79" style="31" customWidth="1"/>
    <col min="8198" max="8198" width="3.83203125" style="31" customWidth="1"/>
    <col min="8199" max="8211" width="12.5" style="31" customWidth="1"/>
    <col min="8212" max="8212" width="8.5" style="31" customWidth="1"/>
    <col min="8213" max="8451" width="10.6640625" style="31"/>
    <col min="8452" max="8452" width="13.1640625" style="31" customWidth="1"/>
    <col min="8453" max="8453" width="79" style="31" customWidth="1"/>
    <col min="8454" max="8454" width="3.83203125" style="31" customWidth="1"/>
    <col min="8455" max="8467" width="12.5" style="31" customWidth="1"/>
    <col min="8468" max="8468" width="8.5" style="31" customWidth="1"/>
    <col min="8469" max="8707" width="10.6640625" style="31"/>
    <col min="8708" max="8708" width="13.1640625" style="31" customWidth="1"/>
    <col min="8709" max="8709" width="79" style="31" customWidth="1"/>
    <col min="8710" max="8710" width="3.83203125" style="31" customWidth="1"/>
    <col min="8711" max="8723" width="12.5" style="31" customWidth="1"/>
    <col min="8724" max="8724" width="8.5" style="31" customWidth="1"/>
    <col min="8725" max="8963" width="10.6640625" style="31"/>
    <col min="8964" max="8964" width="13.1640625" style="31" customWidth="1"/>
    <col min="8965" max="8965" width="79" style="31" customWidth="1"/>
    <col min="8966" max="8966" width="3.83203125" style="31" customWidth="1"/>
    <col min="8967" max="8979" width="12.5" style="31" customWidth="1"/>
    <col min="8980" max="8980" width="8.5" style="31" customWidth="1"/>
    <col min="8981" max="9219" width="10.6640625" style="31"/>
    <col min="9220" max="9220" width="13.1640625" style="31" customWidth="1"/>
    <col min="9221" max="9221" width="79" style="31" customWidth="1"/>
    <col min="9222" max="9222" width="3.83203125" style="31" customWidth="1"/>
    <col min="9223" max="9235" width="12.5" style="31" customWidth="1"/>
    <col min="9236" max="9236" width="8.5" style="31" customWidth="1"/>
    <col min="9237" max="9475" width="10.6640625" style="31"/>
    <col min="9476" max="9476" width="13.1640625" style="31" customWidth="1"/>
    <col min="9477" max="9477" width="79" style="31" customWidth="1"/>
    <col min="9478" max="9478" width="3.83203125" style="31" customWidth="1"/>
    <col min="9479" max="9491" width="12.5" style="31" customWidth="1"/>
    <col min="9492" max="9492" width="8.5" style="31" customWidth="1"/>
    <col min="9493" max="9731" width="10.6640625" style="31"/>
    <col min="9732" max="9732" width="13.1640625" style="31" customWidth="1"/>
    <col min="9733" max="9733" width="79" style="31" customWidth="1"/>
    <col min="9734" max="9734" width="3.83203125" style="31" customWidth="1"/>
    <col min="9735" max="9747" width="12.5" style="31" customWidth="1"/>
    <col min="9748" max="9748" width="8.5" style="31" customWidth="1"/>
    <col min="9749" max="9987" width="10.6640625" style="31"/>
    <col min="9988" max="9988" width="13.1640625" style="31" customWidth="1"/>
    <col min="9989" max="9989" width="79" style="31" customWidth="1"/>
    <col min="9990" max="9990" width="3.83203125" style="31" customWidth="1"/>
    <col min="9991" max="10003" width="12.5" style="31" customWidth="1"/>
    <col min="10004" max="10004" width="8.5" style="31" customWidth="1"/>
    <col min="10005" max="10243" width="10.6640625" style="31"/>
    <col min="10244" max="10244" width="13.1640625" style="31" customWidth="1"/>
    <col min="10245" max="10245" width="79" style="31" customWidth="1"/>
    <col min="10246" max="10246" width="3.83203125" style="31" customWidth="1"/>
    <col min="10247" max="10259" width="12.5" style="31" customWidth="1"/>
    <col min="10260" max="10260" width="8.5" style="31" customWidth="1"/>
    <col min="10261" max="10499" width="10.6640625" style="31"/>
    <col min="10500" max="10500" width="13.1640625" style="31" customWidth="1"/>
    <col min="10501" max="10501" width="79" style="31" customWidth="1"/>
    <col min="10502" max="10502" width="3.83203125" style="31" customWidth="1"/>
    <col min="10503" max="10515" width="12.5" style="31" customWidth="1"/>
    <col min="10516" max="10516" width="8.5" style="31" customWidth="1"/>
    <col min="10517" max="10755" width="10.6640625" style="31"/>
    <col min="10756" max="10756" width="13.1640625" style="31" customWidth="1"/>
    <col min="10757" max="10757" width="79" style="31" customWidth="1"/>
    <col min="10758" max="10758" width="3.83203125" style="31" customWidth="1"/>
    <col min="10759" max="10771" width="12.5" style="31" customWidth="1"/>
    <col min="10772" max="10772" width="8.5" style="31" customWidth="1"/>
    <col min="10773" max="11011" width="10.6640625" style="31"/>
    <col min="11012" max="11012" width="13.1640625" style="31" customWidth="1"/>
    <col min="11013" max="11013" width="79" style="31" customWidth="1"/>
    <col min="11014" max="11014" width="3.83203125" style="31" customWidth="1"/>
    <col min="11015" max="11027" width="12.5" style="31" customWidth="1"/>
    <col min="11028" max="11028" width="8.5" style="31" customWidth="1"/>
    <col min="11029" max="11267" width="10.6640625" style="31"/>
    <col min="11268" max="11268" width="13.1640625" style="31" customWidth="1"/>
    <col min="11269" max="11269" width="79" style="31" customWidth="1"/>
    <col min="11270" max="11270" width="3.83203125" style="31" customWidth="1"/>
    <col min="11271" max="11283" width="12.5" style="31" customWidth="1"/>
    <col min="11284" max="11284" width="8.5" style="31" customWidth="1"/>
    <col min="11285" max="11523" width="10.6640625" style="31"/>
    <col min="11524" max="11524" width="13.1640625" style="31" customWidth="1"/>
    <col min="11525" max="11525" width="79" style="31" customWidth="1"/>
    <col min="11526" max="11526" width="3.83203125" style="31" customWidth="1"/>
    <col min="11527" max="11539" width="12.5" style="31" customWidth="1"/>
    <col min="11540" max="11540" width="8.5" style="31" customWidth="1"/>
    <col min="11541" max="11779" width="10.6640625" style="31"/>
    <col min="11780" max="11780" width="13.1640625" style="31" customWidth="1"/>
    <col min="11781" max="11781" width="79" style="31" customWidth="1"/>
    <col min="11782" max="11782" width="3.83203125" style="31" customWidth="1"/>
    <col min="11783" max="11795" width="12.5" style="31" customWidth="1"/>
    <col min="11796" max="11796" width="8.5" style="31" customWidth="1"/>
    <col min="11797" max="12035" width="10.6640625" style="31"/>
    <col min="12036" max="12036" width="13.1640625" style="31" customWidth="1"/>
    <col min="12037" max="12037" width="79" style="31" customWidth="1"/>
    <col min="12038" max="12038" width="3.83203125" style="31" customWidth="1"/>
    <col min="12039" max="12051" width="12.5" style="31" customWidth="1"/>
    <col min="12052" max="12052" width="8.5" style="31" customWidth="1"/>
    <col min="12053" max="12291" width="10.6640625" style="31"/>
    <col min="12292" max="12292" width="13.1640625" style="31" customWidth="1"/>
    <col min="12293" max="12293" width="79" style="31" customWidth="1"/>
    <col min="12294" max="12294" width="3.83203125" style="31" customWidth="1"/>
    <col min="12295" max="12307" width="12.5" style="31" customWidth="1"/>
    <col min="12308" max="12308" width="8.5" style="31" customWidth="1"/>
    <col min="12309" max="12547" width="10.6640625" style="31"/>
    <col min="12548" max="12548" width="13.1640625" style="31" customWidth="1"/>
    <col min="12549" max="12549" width="79" style="31" customWidth="1"/>
    <col min="12550" max="12550" width="3.83203125" style="31" customWidth="1"/>
    <col min="12551" max="12563" width="12.5" style="31" customWidth="1"/>
    <col min="12564" max="12564" width="8.5" style="31" customWidth="1"/>
    <col min="12565" max="12803" width="10.6640625" style="31"/>
    <col min="12804" max="12804" width="13.1640625" style="31" customWidth="1"/>
    <col min="12805" max="12805" width="79" style="31" customWidth="1"/>
    <col min="12806" max="12806" width="3.83203125" style="31" customWidth="1"/>
    <col min="12807" max="12819" width="12.5" style="31" customWidth="1"/>
    <col min="12820" max="12820" width="8.5" style="31" customWidth="1"/>
    <col min="12821" max="13059" width="10.6640625" style="31"/>
    <col min="13060" max="13060" width="13.1640625" style="31" customWidth="1"/>
    <col min="13061" max="13061" width="79" style="31" customWidth="1"/>
    <col min="13062" max="13062" width="3.83203125" style="31" customWidth="1"/>
    <col min="13063" max="13075" width="12.5" style="31" customWidth="1"/>
    <col min="13076" max="13076" width="8.5" style="31" customWidth="1"/>
    <col min="13077" max="13315" width="10.6640625" style="31"/>
    <col min="13316" max="13316" width="13.1640625" style="31" customWidth="1"/>
    <col min="13317" max="13317" width="79" style="31" customWidth="1"/>
    <col min="13318" max="13318" width="3.83203125" style="31" customWidth="1"/>
    <col min="13319" max="13331" width="12.5" style="31" customWidth="1"/>
    <col min="13332" max="13332" width="8.5" style="31" customWidth="1"/>
    <col min="13333" max="13571" width="10.6640625" style="31"/>
    <col min="13572" max="13572" width="13.1640625" style="31" customWidth="1"/>
    <col min="13573" max="13573" width="79" style="31" customWidth="1"/>
    <col min="13574" max="13574" width="3.83203125" style="31" customWidth="1"/>
    <col min="13575" max="13587" width="12.5" style="31" customWidth="1"/>
    <col min="13588" max="13588" width="8.5" style="31" customWidth="1"/>
    <col min="13589" max="13827" width="10.6640625" style="31"/>
    <col min="13828" max="13828" width="13.1640625" style="31" customWidth="1"/>
    <col min="13829" max="13829" width="79" style="31" customWidth="1"/>
    <col min="13830" max="13830" width="3.83203125" style="31" customWidth="1"/>
    <col min="13831" max="13843" width="12.5" style="31" customWidth="1"/>
    <col min="13844" max="13844" width="8.5" style="31" customWidth="1"/>
    <col min="13845" max="14083" width="10.6640625" style="31"/>
    <col min="14084" max="14084" width="13.1640625" style="31" customWidth="1"/>
    <col min="14085" max="14085" width="79" style="31" customWidth="1"/>
    <col min="14086" max="14086" width="3.83203125" style="31" customWidth="1"/>
    <col min="14087" max="14099" width="12.5" style="31" customWidth="1"/>
    <col min="14100" max="14100" width="8.5" style="31" customWidth="1"/>
    <col min="14101" max="14339" width="10.6640625" style="31"/>
    <col min="14340" max="14340" width="13.1640625" style="31" customWidth="1"/>
    <col min="14341" max="14341" width="79" style="31" customWidth="1"/>
    <col min="14342" max="14342" width="3.83203125" style="31" customWidth="1"/>
    <col min="14343" max="14355" width="12.5" style="31" customWidth="1"/>
    <col min="14356" max="14356" width="8.5" style="31" customWidth="1"/>
    <col min="14357" max="14595" width="10.6640625" style="31"/>
    <col min="14596" max="14596" width="13.1640625" style="31" customWidth="1"/>
    <col min="14597" max="14597" width="79" style="31" customWidth="1"/>
    <col min="14598" max="14598" width="3.83203125" style="31" customWidth="1"/>
    <col min="14599" max="14611" width="12.5" style="31" customWidth="1"/>
    <col min="14612" max="14612" width="8.5" style="31" customWidth="1"/>
    <col min="14613" max="14851" width="10.6640625" style="31"/>
    <col min="14852" max="14852" width="13.1640625" style="31" customWidth="1"/>
    <col min="14853" max="14853" width="79" style="31" customWidth="1"/>
    <col min="14854" max="14854" width="3.83203125" style="31" customWidth="1"/>
    <col min="14855" max="14867" width="12.5" style="31" customWidth="1"/>
    <col min="14868" max="14868" width="8.5" style="31" customWidth="1"/>
    <col min="14869" max="15107" width="10.6640625" style="31"/>
    <col min="15108" max="15108" width="13.1640625" style="31" customWidth="1"/>
    <col min="15109" max="15109" width="79" style="31" customWidth="1"/>
    <col min="15110" max="15110" width="3.83203125" style="31" customWidth="1"/>
    <col min="15111" max="15123" width="12.5" style="31" customWidth="1"/>
    <col min="15124" max="15124" width="8.5" style="31" customWidth="1"/>
    <col min="15125" max="15363" width="10.6640625" style="31"/>
    <col min="15364" max="15364" width="13.1640625" style="31" customWidth="1"/>
    <col min="15365" max="15365" width="79" style="31" customWidth="1"/>
    <col min="15366" max="15366" width="3.83203125" style="31" customWidth="1"/>
    <col min="15367" max="15379" width="12.5" style="31" customWidth="1"/>
    <col min="15380" max="15380" width="8.5" style="31" customWidth="1"/>
    <col min="15381" max="15619" width="10.6640625" style="31"/>
    <col min="15620" max="15620" width="13.1640625" style="31" customWidth="1"/>
    <col min="15621" max="15621" width="79" style="31" customWidth="1"/>
    <col min="15622" max="15622" width="3.83203125" style="31" customWidth="1"/>
    <col min="15623" max="15635" width="12.5" style="31" customWidth="1"/>
    <col min="15636" max="15636" width="8.5" style="31" customWidth="1"/>
    <col min="15637" max="15875" width="10.6640625" style="31"/>
    <col min="15876" max="15876" width="13.1640625" style="31" customWidth="1"/>
    <col min="15877" max="15877" width="79" style="31" customWidth="1"/>
    <col min="15878" max="15878" width="3.83203125" style="31" customWidth="1"/>
    <col min="15879" max="15891" width="12.5" style="31" customWidth="1"/>
    <col min="15892" max="15892" width="8.5" style="31" customWidth="1"/>
    <col min="15893" max="16131" width="10.6640625" style="31"/>
    <col min="16132" max="16132" width="13.1640625" style="31" customWidth="1"/>
    <col min="16133" max="16133" width="79" style="31" customWidth="1"/>
    <col min="16134" max="16134" width="3.83203125" style="31" customWidth="1"/>
    <col min="16135" max="16147" width="12.5" style="31" customWidth="1"/>
    <col min="16148" max="16148" width="8.5" style="31" customWidth="1"/>
    <col min="16149" max="16384" width="10.6640625" style="31"/>
  </cols>
  <sheetData>
    <row r="1" spans="1:24" ht="26.25" x14ac:dyDescent="0.3">
      <c r="A1" s="82"/>
      <c r="B1" s="83" t="s">
        <v>1898</v>
      </c>
      <c r="C1" s="516" t="s">
        <v>863</v>
      </c>
      <c r="D1" s="516"/>
      <c r="E1" s="84"/>
      <c r="F1" s="517"/>
      <c r="G1" s="517"/>
      <c r="H1" s="518"/>
      <c r="I1" s="518"/>
      <c r="J1" s="518"/>
      <c r="K1" s="85" t="s">
        <v>816</v>
      </c>
      <c r="L1" s="518"/>
      <c r="M1" s="518"/>
      <c r="N1" s="519"/>
      <c r="O1" s="519"/>
      <c r="P1" s="518"/>
      <c r="Q1" s="518"/>
      <c r="R1" s="518"/>
      <c r="S1" s="518"/>
      <c r="T1" s="520"/>
      <c r="U1" s="521"/>
      <c r="V1" s="521"/>
      <c r="W1" s="521"/>
      <c r="X1" s="521"/>
    </row>
    <row r="2" spans="1:24" x14ac:dyDescent="0.2">
      <c r="A2" s="82"/>
      <c r="B2" s="86" t="s">
        <v>183</v>
      </c>
      <c r="C2" s="87" t="s">
        <v>2102</v>
      </c>
      <c r="D2" s="88"/>
      <c r="E2" s="88"/>
      <c r="F2" s="89" t="s">
        <v>184</v>
      </c>
      <c r="G2" s="90"/>
      <c r="H2" s="91" t="s">
        <v>864</v>
      </c>
      <c r="I2" s="92"/>
      <c r="J2" s="91" t="s">
        <v>865</v>
      </c>
      <c r="K2" s="92"/>
      <c r="L2" s="91" t="s">
        <v>866</v>
      </c>
      <c r="M2" s="93"/>
      <c r="N2" s="94"/>
      <c r="O2" s="92"/>
      <c r="P2" s="95" t="s">
        <v>867</v>
      </c>
      <c r="Q2" s="96"/>
      <c r="R2" s="96"/>
      <c r="S2" s="97">
        <f>S21</f>
        <v>272438.12</v>
      </c>
      <c r="T2" s="98">
        <f>IF(S4=0,0,S2/S4)</f>
        <v>1</v>
      </c>
      <c r="U2" s="521"/>
      <c r="V2" s="521"/>
      <c r="W2" s="521"/>
      <c r="X2" s="521"/>
    </row>
    <row r="3" spans="1:24" ht="15" customHeight="1" thickBot="1" x14ac:dyDescent="0.25">
      <c r="A3" s="82"/>
      <c r="B3" s="99" t="s">
        <v>827</v>
      </c>
      <c r="C3" s="100" t="s">
        <v>2103</v>
      </c>
      <c r="D3" s="101"/>
      <c r="E3" s="102"/>
      <c r="F3" s="103" t="s">
        <v>185</v>
      </c>
      <c r="G3" s="104">
        <v>1</v>
      </c>
      <c r="H3" s="105" t="s">
        <v>868</v>
      </c>
      <c r="I3" s="106">
        <f ca="1">TODAY()</f>
        <v>44763</v>
      </c>
      <c r="J3" s="105" t="s">
        <v>869</v>
      </c>
      <c r="K3" s="107">
        <f>80-10</f>
        <v>70</v>
      </c>
      <c r="L3" s="105" t="s">
        <v>868</v>
      </c>
      <c r="M3" s="108">
        <f ca="1">I3+K3+10</f>
        <v>44843</v>
      </c>
      <c r="N3" s="105"/>
      <c r="O3" s="109"/>
      <c r="P3" s="110" t="s">
        <v>870</v>
      </c>
      <c r="Q3" s="111"/>
      <c r="R3" s="112"/>
      <c r="S3" s="113"/>
      <c r="T3" s="114">
        <f>IF(S3=0,0,1-T2)</f>
        <v>0</v>
      </c>
      <c r="U3" s="521"/>
      <c r="V3" s="521"/>
      <c r="W3" s="521"/>
      <c r="X3" s="521"/>
    </row>
    <row r="4" spans="1:24" ht="18.75" thickBot="1" x14ac:dyDescent="0.3">
      <c r="A4" s="82"/>
      <c r="B4" s="115" t="s">
        <v>871</v>
      </c>
      <c r="C4" s="116"/>
      <c r="D4" s="117"/>
      <c r="E4" s="118" t="s">
        <v>872</v>
      </c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20" t="s">
        <v>873</v>
      </c>
      <c r="Q4" s="121"/>
      <c r="R4" s="121"/>
      <c r="S4" s="122">
        <f>SUM(S2:S3)</f>
        <v>272438.12</v>
      </c>
      <c r="T4" s="123">
        <f>SUM(T2:T3)</f>
        <v>1</v>
      </c>
      <c r="U4" s="521"/>
      <c r="V4" s="521"/>
      <c r="W4" s="521"/>
      <c r="X4" s="521"/>
    </row>
    <row r="5" spans="1:24" ht="12.75" customHeight="1" thickBot="1" x14ac:dyDescent="0.25">
      <c r="A5" s="82"/>
      <c r="B5" s="522" t="s">
        <v>874</v>
      </c>
      <c r="C5" s="523" t="s">
        <v>875</v>
      </c>
      <c r="D5" s="524"/>
      <c r="E5" s="525" t="s">
        <v>80</v>
      </c>
      <c r="F5" s="526" t="s">
        <v>876</v>
      </c>
      <c r="G5" s="527"/>
      <c r="H5" s="527"/>
      <c r="I5" s="527"/>
      <c r="J5" s="527"/>
      <c r="K5" s="527"/>
      <c r="L5" s="527"/>
      <c r="M5" s="528"/>
      <c r="N5" s="528"/>
      <c r="O5" s="528"/>
      <c r="P5" s="529"/>
      <c r="Q5" s="530"/>
      <c r="R5" s="531"/>
      <c r="S5" s="532" t="s">
        <v>517</v>
      </c>
      <c r="T5" s="533" t="s">
        <v>877</v>
      </c>
      <c r="U5" s="521"/>
      <c r="V5" s="521"/>
      <c r="W5" s="521" t="s">
        <v>878</v>
      </c>
      <c r="X5" s="124" t="str">
        <f>IF(S4=S51,"OK","erro")</f>
        <v>OK</v>
      </c>
    </row>
    <row r="6" spans="1:24" ht="13.5" thickBot="1" x14ac:dyDescent="0.25">
      <c r="A6" s="82"/>
      <c r="B6" s="534" t="s">
        <v>879</v>
      </c>
      <c r="C6" s="535"/>
      <c r="D6" s="536"/>
      <c r="E6" s="125">
        <v>3</v>
      </c>
      <c r="F6" s="537">
        <f>IF(E6=0,0,1)</f>
        <v>1</v>
      </c>
      <c r="G6" s="537">
        <f>IF($E$6&lt;2,0,2)</f>
        <v>2</v>
      </c>
      <c r="H6" s="537">
        <f>IF($E$6&lt;3,0,3)</f>
        <v>3</v>
      </c>
      <c r="I6" s="537">
        <f>IF($E$6&lt;4,0,4)</f>
        <v>0</v>
      </c>
      <c r="J6" s="537">
        <f>IF($E$6&lt;5,0,5)</f>
        <v>0</v>
      </c>
      <c r="K6" s="537">
        <f>IF($E$6&lt;6,0,6)</f>
        <v>0</v>
      </c>
      <c r="L6" s="537">
        <f>IF($E$6&lt;7,0,7)</f>
        <v>0</v>
      </c>
      <c r="M6" s="537">
        <f>IF($E$6&lt;8,0,8)</f>
        <v>0</v>
      </c>
      <c r="N6" s="537">
        <f>IF($E$6&lt;9,0,9)</f>
        <v>0</v>
      </c>
      <c r="O6" s="537">
        <f>IF($E$6&lt;10,0,10)</f>
        <v>0</v>
      </c>
      <c r="P6" s="537">
        <f>IF($E$6&lt;11,0,11)</f>
        <v>0</v>
      </c>
      <c r="Q6" s="538">
        <f>IF($E$6&lt;12,0,12)</f>
        <v>0</v>
      </c>
      <c r="R6" s="539"/>
      <c r="S6" s="540" t="s">
        <v>880</v>
      </c>
      <c r="T6" s="541" t="s">
        <v>517</v>
      </c>
      <c r="U6" s="521"/>
      <c r="V6" s="521"/>
      <c r="W6" s="521"/>
      <c r="X6" s="521"/>
    </row>
    <row r="7" spans="1:24" ht="14.25" thickTop="1" thickBot="1" x14ac:dyDescent="0.25">
      <c r="A7" s="82"/>
      <c r="B7" s="534"/>
      <c r="C7" s="535" t="s">
        <v>881</v>
      </c>
      <c r="D7" s="536"/>
      <c r="E7" s="542"/>
      <c r="F7" s="543">
        <f ca="1">IF(E6=0,0,M3)</f>
        <v>44843</v>
      </c>
      <c r="G7" s="543">
        <f ca="1">IF(G6=0,0,F8+1)</f>
        <v>44874</v>
      </c>
      <c r="H7" s="543">
        <f ca="1">IF(H6=0,0,G8+1)</f>
        <v>44905</v>
      </c>
      <c r="I7" s="543">
        <f>IF(I6=0,0,H8+1)</f>
        <v>0</v>
      </c>
      <c r="J7" s="543">
        <f>IF(J6=0,0,I8+1)</f>
        <v>0</v>
      </c>
      <c r="K7" s="543">
        <f t="shared" ref="K7:Q7" si="0">IF(K6=0,0,J8+1)</f>
        <v>0</v>
      </c>
      <c r="L7" s="543">
        <f t="shared" si="0"/>
        <v>0</v>
      </c>
      <c r="M7" s="543">
        <f t="shared" si="0"/>
        <v>0</v>
      </c>
      <c r="N7" s="543">
        <f t="shared" si="0"/>
        <v>0</v>
      </c>
      <c r="O7" s="543">
        <f t="shared" si="0"/>
        <v>0</v>
      </c>
      <c r="P7" s="543">
        <f t="shared" si="0"/>
        <v>0</v>
      </c>
      <c r="Q7" s="544">
        <f t="shared" si="0"/>
        <v>0</v>
      </c>
      <c r="R7" s="545"/>
      <c r="S7" s="540"/>
      <c r="T7" s="541"/>
      <c r="U7" s="521"/>
      <c r="V7" s="521"/>
      <c r="W7" s="521"/>
      <c r="X7" s="521"/>
    </row>
    <row r="8" spans="1:24" ht="14.25" thickTop="1" thickBot="1" x14ac:dyDescent="0.25">
      <c r="A8" s="82"/>
      <c r="B8" s="534"/>
      <c r="C8" s="535" t="s">
        <v>882</v>
      </c>
      <c r="D8" s="536"/>
      <c r="E8" s="542"/>
      <c r="F8" s="543">
        <f ca="1">IF(E6=0,0,F7+30)</f>
        <v>44873</v>
      </c>
      <c r="G8" s="543">
        <f t="shared" ref="G8:I8" ca="1" si="1">IF(G6=0,0,G7+30)</f>
        <v>44904</v>
      </c>
      <c r="H8" s="543">
        <f t="shared" ca="1" si="1"/>
        <v>44935</v>
      </c>
      <c r="I8" s="543">
        <f t="shared" si="1"/>
        <v>0</v>
      </c>
      <c r="J8" s="543">
        <f>IF(J6=0,0,J7+30)</f>
        <v>0</v>
      </c>
      <c r="K8" s="543">
        <f t="shared" ref="K8:Q8" si="2">IF(K6=0,0,K7+30)</f>
        <v>0</v>
      </c>
      <c r="L8" s="543">
        <f t="shared" si="2"/>
        <v>0</v>
      </c>
      <c r="M8" s="543">
        <f t="shared" si="2"/>
        <v>0</v>
      </c>
      <c r="N8" s="543">
        <f t="shared" si="2"/>
        <v>0</v>
      </c>
      <c r="O8" s="543">
        <f t="shared" si="2"/>
        <v>0</v>
      </c>
      <c r="P8" s="543">
        <f t="shared" si="2"/>
        <v>0</v>
      </c>
      <c r="Q8" s="544">
        <f t="shared" si="2"/>
        <v>0</v>
      </c>
      <c r="R8" s="545"/>
      <c r="S8" s="540"/>
      <c r="T8" s="541"/>
      <c r="U8" s="521"/>
      <c r="V8" s="521"/>
      <c r="W8" s="521"/>
      <c r="X8" s="521"/>
    </row>
    <row r="9" spans="1:24" ht="13.5" hidden="1" thickTop="1" x14ac:dyDescent="0.2">
      <c r="A9" s="126" t="str">
        <f>CONCATENATE($E$6,"|",B9)</f>
        <v>3|1</v>
      </c>
      <c r="B9" s="546">
        <v>1</v>
      </c>
      <c r="C9" s="547" t="s">
        <v>477</v>
      </c>
      <c r="D9" s="548"/>
      <c r="E9" s="549">
        <v>1</v>
      </c>
      <c r="F9" s="550"/>
      <c r="G9" s="550"/>
      <c r="H9" s="550">
        <f>IF(H$6=0,0,VLOOKUP($A9,base!$A:$P,H$6+4,FALSE))</f>
        <v>0</v>
      </c>
      <c r="I9" s="550">
        <f>IF(I$6=0,0,VLOOKUP($A9,base!$A:$P,I$6+4,FALSE))</f>
        <v>0</v>
      </c>
      <c r="J9" s="550">
        <f>IF(J$6=0,0,VLOOKUP($A9,base!$A:$P,J$6+4,FALSE))</f>
        <v>0</v>
      </c>
      <c r="K9" s="550">
        <f>IF(K$6=0,0,VLOOKUP($A9,base!$A:$P,K$6+4,FALSE))</f>
        <v>0</v>
      </c>
      <c r="L9" s="550">
        <f>IF(L$6=0,0,VLOOKUP($A9,base!$A:$P,L$6+4,FALSE))</f>
        <v>0</v>
      </c>
      <c r="M9" s="550">
        <f>IF(M$6=0,0,VLOOKUP($A9,base!$A:$P,M$6+4,FALSE))</f>
        <v>0</v>
      </c>
      <c r="N9" s="550">
        <f>IF(N$6=0,0,VLOOKUP($A9,base!$A:$P,N$6+4,FALSE))</f>
        <v>0</v>
      </c>
      <c r="O9" s="550">
        <f>IF(O$6=0,0,VLOOKUP($A9,base!$A:$P,O$6+4,FALSE))</f>
        <v>0</v>
      </c>
      <c r="P9" s="550">
        <f>IF(P$6=0,0,VLOOKUP($A9,base!$A:$P,P$6+4,FALSE))</f>
        <v>0</v>
      </c>
      <c r="Q9" s="551">
        <f>IF(Q$6=0,0,VLOOKUP($A9,base!$A:$P,Q$6+4,FALSE))</f>
        <v>0</v>
      </c>
      <c r="R9" s="552"/>
      <c r="S9" s="553"/>
      <c r="T9" s="554">
        <f t="shared" ref="T9:T19" si="3">IF($S$21=0,0,(S9/$S$21)*100)</f>
        <v>0</v>
      </c>
      <c r="U9" s="521"/>
      <c r="V9" s="521"/>
      <c r="W9" s="555">
        <f t="shared" ref="W9:W19" si="4">SUM(F9:Q9)</f>
        <v>0</v>
      </c>
      <c r="X9" s="521"/>
    </row>
    <row r="10" spans="1:24" ht="13.5" thickTop="1" x14ac:dyDescent="0.2">
      <c r="A10" s="126" t="str">
        <f t="shared" ref="A10:A19" si="5">CONCATENATE($E$6,"|",B10)</f>
        <v>3|1</v>
      </c>
      <c r="B10" s="556" t="s">
        <v>607</v>
      </c>
      <c r="C10" s="547" t="s">
        <v>473</v>
      </c>
      <c r="D10" s="548"/>
      <c r="E10" s="549">
        <v>2</v>
      </c>
      <c r="F10" s="550">
        <f>IF(E$6&lt;3,0,IF(F$6=0,0,VLOOKUP($A10,base!$A:$P,F$6+4,FALSE)))</f>
        <v>50</v>
      </c>
      <c r="G10" s="550">
        <f>IF(E$6&lt;3,0,IF(G$6=0,0,VLOOKUP($A10,base!$A:$P,G$6+4,FALSE)))</f>
        <v>50</v>
      </c>
      <c r="H10" s="550">
        <f>IF(H$6=0,0,VLOOKUP($A10,base!$A:$P,H$6+4,FALSE))</f>
        <v>0</v>
      </c>
      <c r="I10" s="550">
        <f>IF(I$6=0,0,VLOOKUP($A10,base!$A:$P,I$6+4,FALSE))</f>
        <v>0</v>
      </c>
      <c r="J10" s="550">
        <f>IF(J$6=0,0,VLOOKUP($A10,base!$A:$P,J$6+4,FALSE))</f>
        <v>0</v>
      </c>
      <c r="K10" s="550">
        <f>IF(K$6=0,0,VLOOKUP($A10,base!$A:$P,K$6+4,FALSE))</f>
        <v>0</v>
      </c>
      <c r="L10" s="550">
        <f>IF(L$6=0,0,VLOOKUP($A10,base!$A:$P,L$6+4,FALSE))</f>
        <v>0</v>
      </c>
      <c r="M10" s="550">
        <f>IF(M$6=0,0,VLOOKUP($A10,base!$A:$P,M$6+4,FALSE))</f>
        <v>0</v>
      </c>
      <c r="N10" s="550">
        <f>IF(N$6=0,0,VLOOKUP($A10,base!$A:$P,N$6+4,FALSE))</f>
        <v>0</v>
      </c>
      <c r="O10" s="550">
        <f>IF(O$6=0,0,VLOOKUP($A10,base!$A:$P,O$6+4,FALSE))</f>
        <v>0</v>
      </c>
      <c r="P10" s="550">
        <f>IF(P$6=0,0,VLOOKUP($A10,base!$A:$P,P$6+4,FALSE))</f>
        <v>0</v>
      </c>
      <c r="Q10" s="551">
        <f>IF(Q$6=0,0,VLOOKUP($A10,base!$A:$P,Q$6+4,FALSE))</f>
        <v>0</v>
      </c>
      <c r="R10" s="552"/>
      <c r="S10" s="553">
        <f>'Grandes Itens'!F6</f>
        <v>12531.329999999998</v>
      </c>
      <c r="T10" s="554">
        <f t="shared" si="3"/>
        <v>4.5996977221836648</v>
      </c>
      <c r="U10" s="521"/>
      <c r="V10" s="521"/>
      <c r="W10" s="555">
        <f t="shared" si="4"/>
        <v>100</v>
      </c>
      <c r="X10" s="521"/>
    </row>
    <row r="11" spans="1:24" x14ac:dyDescent="0.2">
      <c r="A11" s="126" t="str">
        <f t="shared" si="5"/>
        <v>3|2</v>
      </c>
      <c r="B11" s="556" t="s">
        <v>190</v>
      </c>
      <c r="C11" s="547" t="s">
        <v>479</v>
      </c>
      <c r="D11" s="548"/>
      <c r="E11" s="549">
        <v>3</v>
      </c>
      <c r="F11" s="550">
        <f>IF(E$6&lt;3,0,IF(F$6=0,0,VLOOKUP($A11,base!$A:$P,F$6+4,FALSE)))</f>
        <v>50</v>
      </c>
      <c r="G11" s="550">
        <f>IF(E$6&lt;3,0,IF(G$6=0,0,VLOOKUP($A11,base!$A:$P,G$6+4,FALSE)))</f>
        <v>50</v>
      </c>
      <c r="H11" s="550">
        <f>IF(H$6=0,0,VLOOKUP($A11,base!$A:$P,H$6+4,FALSE))</f>
        <v>0</v>
      </c>
      <c r="I11" s="550">
        <f>IF(I$6=0,0,VLOOKUP($A11,base!$A:$P,I$6+4,FALSE))</f>
        <v>0</v>
      </c>
      <c r="J11" s="550">
        <f>IF(J$6=0,0,VLOOKUP($A11,base!$A:$P,J$6+4,FALSE))</f>
        <v>0</v>
      </c>
      <c r="K11" s="550">
        <f>IF(K$6=0,0,VLOOKUP($A11,base!$A:$P,K$6+4,FALSE))</f>
        <v>0</v>
      </c>
      <c r="L11" s="550">
        <f>IF(L$6=0,0,VLOOKUP($A11,base!$A:$P,L$6+4,FALSE))</f>
        <v>0</v>
      </c>
      <c r="M11" s="550">
        <f>IF(M$6=0,0,VLOOKUP($A11,base!$A:$P,M$6+4,FALSE))</f>
        <v>0</v>
      </c>
      <c r="N11" s="550">
        <f>IF(N$6=0,0,VLOOKUP($A11,base!$A:$P,N$6+4,FALSE))</f>
        <v>0</v>
      </c>
      <c r="O11" s="550">
        <f>IF(O$6=0,0,VLOOKUP($A11,base!$A:$P,O$6+4,FALSE))</f>
        <v>0</v>
      </c>
      <c r="P11" s="550">
        <f>IF(P$6=0,0,VLOOKUP($A11,base!$A:$P,P$6+4,FALSE))</f>
        <v>0</v>
      </c>
      <c r="Q11" s="551">
        <f>IF(Q$6=0,0,VLOOKUP($A11,base!$A:$P,Q$6+4,FALSE))</f>
        <v>0</v>
      </c>
      <c r="R11" s="552"/>
      <c r="S11" s="553">
        <f>'Grandes Itens'!F7</f>
        <v>98219.44</v>
      </c>
      <c r="T11" s="554">
        <f t="shared" si="3"/>
        <v>36.052017977513572</v>
      </c>
      <c r="U11" s="521"/>
      <c r="V11" s="521"/>
      <c r="W11" s="555">
        <f t="shared" si="4"/>
        <v>100</v>
      </c>
      <c r="X11" s="521"/>
    </row>
    <row r="12" spans="1:24" x14ac:dyDescent="0.2">
      <c r="A12" s="126" t="str">
        <f t="shared" si="5"/>
        <v>3|3</v>
      </c>
      <c r="B12" s="556" t="s">
        <v>208</v>
      </c>
      <c r="C12" s="547" t="s">
        <v>474</v>
      </c>
      <c r="D12" s="548"/>
      <c r="E12" s="549">
        <v>4</v>
      </c>
      <c r="F12" s="550">
        <f>IF(E$6&lt;3,0,IF(F$6=0,0,VLOOKUP($A12,base!$A:$P,F$6+4,FALSE)))</f>
        <v>25</v>
      </c>
      <c r="G12" s="550">
        <f>IF(E$6&lt;3,0,IF(G$6=0,0,VLOOKUP($A12,base!$A:$P,G$6+4,FALSE)))</f>
        <v>60</v>
      </c>
      <c r="H12" s="550">
        <f>IF(H$6=0,0,VLOOKUP($A12,base!$A:$P,H$6+4,FALSE))</f>
        <v>15</v>
      </c>
      <c r="I12" s="550">
        <f>IF(I$6=0,0,VLOOKUP($A12,base!$A:$P,I$6+4,FALSE))</f>
        <v>0</v>
      </c>
      <c r="J12" s="550">
        <f>IF(J$6=0,0,VLOOKUP($A12,base!$A:$P,J$6+4,FALSE))</f>
        <v>0</v>
      </c>
      <c r="K12" s="550">
        <f>IF(K$6=0,0,VLOOKUP($A12,base!$A:$P,K$6+4,FALSE))</f>
        <v>0</v>
      </c>
      <c r="L12" s="550">
        <f>IF(L$6=0,0,VLOOKUP($A12,base!$A:$P,L$6+4,FALSE))</f>
        <v>0</v>
      </c>
      <c r="M12" s="550">
        <f>IF(M$6=0,0,VLOOKUP($A12,base!$A:$P,M$6+4,FALSE))</f>
        <v>0</v>
      </c>
      <c r="N12" s="550">
        <f>IF(N$6=0,0,VLOOKUP($A12,base!$A:$P,N$6+4,FALSE))</f>
        <v>0</v>
      </c>
      <c r="O12" s="550">
        <f>IF(O$6=0,0,VLOOKUP($A12,base!$A:$P,O$6+4,FALSE))</f>
        <v>0</v>
      </c>
      <c r="P12" s="550">
        <f>IF(P$6=0,0,VLOOKUP($A12,base!$A:$P,P$6+4,FALSE))</f>
        <v>0</v>
      </c>
      <c r="Q12" s="551">
        <f>IF(Q$6=0,0,VLOOKUP($A12,base!$A:$P,Q$6+4,FALSE))</f>
        <v>0</v>
      </c>
      <c r="R12" s="552"/>
      <c r="S12" s="553">
        <f>'Grandes Itens'!F8</f>
        <v>49988.59</v>
      </c>
      <c r="T12" s="554">
        <f t="shared" si="3"/>
        <v>18.348603345229368</v>
      </c>
      <c r="U12" s="521"/>
      <c r="V12" s="521"/>
      <c r="W12" s="555">
        <f t="shared" si="4"/>
        <v>100</v>
      </c>
      <c r="X12" s="521"/>
    </row>
    <row r="13" spans="1:24" x14ac:dyDescent="0.2">
      <c r="A13" s="126" t="str">
        <f t="shared" si="5"/>
        <v>3|4</v>
      </c>
      <c r="B13" s="556" t="s">
        <v>226</v>
      </c>
      <c r="C13" s="547" t="s">
        <v>475</v>
      </c>
      <c r="D13" s="548"/>
      <c r="E13" s="549">
        <v>5</v>
      </c>
      <c r="F13" s="550">
        <f>IF(E$6&lt;3,0,IF(F$6=0,0,VLOOKUP($A13,base!$A:$P,F$6+4,FALSE)))</f>
        <v>0</v>
      </c>
      <c r="G13" s="550">
        <f>IF(E$6&lt;3,0,IF(G$6=0,0,VLOOKUP($A13,base!$A:$P,G$6+4,FALSE)))</f>
        <v>50</v>
      </c>
      <c r="H13" s="550">
        <f>IF(H$6=0,0,VLOOKUP($A13,base!$A:$P,H$6+4,FALSE))</f>
        <v>50</v>
      </c>
      <c r="I13" s="550">
        <f>IF(I$6=0,0,VLOOKUP($A13,base!$A:$P,I$6+4,FALSE))</f>
        <v>0</v>
      </c>
      <c r="J13" s="550">
        <f>IF(J$6=0,0,VLOOKUP($A13,base!$A:$P,J$6+4,FALSE))</f>
        <v>0</v>
      </c>
      <c r="K13" s="550">
        <f>IF(K$6=0,0,VLOOKUP($A13,base!$A:$P,K$6+4,FALSE))</f>
        <v>0</v>
      </c>
      <c r="L13" s="550">
        <f>IF(L$6=0,0,VLOOKUP($A13,base!$A:$P,L$6+4,FALSE))</f>
        <v>0</v>
      </c>
      <c r="M13" s="550">
        <f>IF(M$6=0,0,VLOOKUP($A13,base!$A:$P,M$6+4,FALSE))</f>
        <v>0</v>
      </c>
      <c r="N13" s="550">
        <f>IF(N$6=0,0,VLOOKUP($A13,base!$A:$P,N$6+4,FALSE))</f>
        <v>0</v>
      </c>
      <c r="O13" s="550">
        <f>IF(O$6=0,0,VLOOKUP($A13,base!$A:$P,O$6+4,FALSE))</f>
        <v>0</v>
      </c>
      <c r="P13" s="550">
        <f>IF(P$6=0,0,VLOOKUP($A13,base!$A:$P,P$6+4,FALSE))</f>
        <v>0</v>
      </c>
      <c r="Q13" s="551">
        <f>IF(Q$6=0,0,VLOOKUP($A13,base!$A:$P,Q$6+4,FALSE))</f>
        <v>0</v>
      </c>
      <c r="R13" s="552"/>
      <c r="S13" s="553">
        <f>'Grandes Itens'!F9</f>
        <v>11278.96</v>
      </c>
      <c r="T13" s="554">
        <f t="shared" si="3"/>
        <v>4.1400080135628601</v>
      </c>
      <c r="U13" s="521"/>
      <c r="V13" s="521"/>
      <c r="W13" s="555">
        <f t="shared" si="4"/>
        <v>100</v>
      </c>
      <c r="X13" s="521"/>
    </row>
    <row r="14" spans="1:24" hidden="1" x14ac:dyDescent="0.2">
      <c r="A14" s="126" t="str">
        <f t="shared" si="5"/>
        <v>3|6</v>
      </c>
      <c r="B14" s="556" t="s">
        <v>228</v>
      </c>
      <c r="C14" s="547" t="s">
        <v>810</v>
      </c>
      <c r="D14" s="548"/>
      <c r="E14" s="549">
        <v>3</v>
      </c>
      <c r="F14" s="550">
        <f>IF(E$6&lt;3,0,IF(F$6=0,0,VLOOKUP($A14,base!$A:$P,F$6+4,FALSE)))</f>
        <v>0</v>
      </c>
      <c r="G14" s="550"/>
      <c r="H14" s="550"/>
      <c r="I14" s="550">
        <f>IF(I$6=0,0,VLOOKUP($A14,base!$A:$P,I$6+4,FALSE))</f>
        <v>0</v>
      </c>
      <c r="J14" s="550">
        <f>IF(J$6=0,0,VLOOKUP($A14,base!$A:$P,J$6+4,FALSE))</f>
        <v>0</v>
      </c>
      <c r="K14" s="550">
        <f>IF(K$6=0,0,VLOOKUP($A14,base!$A:$P,K$6+4,FALSE))</f>
        <v>0</v>
      </c>
      <c r="L14" s="550">
        <f>IF(L$6=0,0,VLOOKUP($A14,base!$A:$P,L$6+4,FALSE))</f>
        <v>0</v>
      </c>
      <c r="M14" s="550">
        <f>IF(M$6=0,0,VLOOKUP($A14,base!$A:$P,M$6+4,FALSE))</f>
        <v>0</v>
      </c>
      <c r="N14" s="550">
        <f>IF(N$6=0,0,VLOOKUP($A14,base!$A:$P,N$6+4,FALSE))</f>
        <v>0</v>
      </c>
      <c r="O14" s="550">
        <f>IF(O$6=0,0,VLOOKUP($A14,base!$A:$P,O$6+4,FALSE))</f>
        <v>0</v>
      </c>
      <c r="P14" s="550">
        <f>IF(P$6=0,0,VLOOKUP($A14,base!$A:$P,P$6+4,FALSE))</f>
        <v>0</v>
      </c>
      <c r="Q14" s="551">
        <f>IF(Q$6=0,0,VLOOKUP($A14,base!$A:$P,Q$6+4,FALSE))</f>
        <v>0</v>
      </c>
      <c r="R14" s="552"/>
      <c r="S14" s="553">
        <f>'Grandes Itens'!F10</f>
        <v>0</v>
      </c>
      <c r="T14" s="554">
        <f t="shared" si="3"/>
        <v>0</v>
      </c>
      <c r="U14" s="521"/>
      <c r="V14" s="521"/>
      <c r="W14" s="555">
        <f t="shared" si="4"/>
        <v>0</v>
      </c>
      <c r="X14" s="521"/>
    </row>
    <row r="15" spans="1:24" x14ac:dyDescent="0.2">
      <c r="A15" s="126" t="str">
        <f t="shared" si="5"/>
        <v>3|5</v>
      </c>
      <c r="B15" s="556" t="s">
        <v>189</v>
      </c>
      <c r="C15" s="547" t="s">
        <v>482</v>
      </c>
      <c r="D15" s="548"/>
      <c r="E15" s="549">
        <v>5</v>
      </c>
      <c r="F15" s="550">
        <f>IF(E$6&lt;3,0,IF(F$6=0,0,VLOOKUP($A15,base!$A:$P,F$6+4,FALSE)))</f>
        <v>20</v>
      </c>
      <c r="G15" s="550">
        <f>IF(E$6&lt;3,0,IF(G$6=0,0,VLOOKUP($A15,base!$A:$P,G$6+4,FALSE)))</f>
        <v>50</v>
      </c>
      <c r="H15" s="550">
        <f>IF(H$6=0,0,VLOOKUP($A15,base!$A:$P,H$6+4,FALSE))</f>
        <v>30</v>
      </c>
      <c r="I15" s="550">
        <f>IF(I$6=0,0,VLOOKUP($A15,base!$A:$P,I$6+4,FALSE))</f>
        <v>0</v>
      </c>
      <c r="J15" s="550">
        <f>IF(J$6=0,0,VLOOKUP($A15,base!$A:$P,J$6+4,FALSE))</f>
        <v>0</v>
      </c>
      <c r="K15" s="550">
        <f>IF(K$6=0,0,VLOOKUP($A15,base!$A:$P,K$6+4,FALSE))</f>
        <v>0</v>
      </c>
      <c r="L15" s="550">
        <f>IF(L$6=0,0,VLOOKUP($A15,base!$A:$P,L$6+4,FALSE))</f>
        <v>0</v>
      </c>
      <c r="M15" s="550">
        <f>IF(M$6=0,0,VLOOKUP($A15,base!$A:$P,M$6+4,FALSE))</f>
        <v>0</v>
      </c>
      <c r="N15" s="550">
        <f>IF(N$6=0,0,VLOOKUP($A15,base!$A:$P,N$6+4,FALSE))</f>
        <v>0</v>
      </c>
      <c r="O15" s="550">
        <f>IF(O$6=0,0,VLOOKUP($A15,base!$A:$P,O$6+4,FALSE))</f>
        <v>0</v>
      </c>
      <c r="P15" s="550">
        <f>IF(P$6=0,0,VLOOKUP($A15,base!$A:$P,P$6+4,FALSE))</f>
        <v>0</v>
      </c>
      <c r="Q15" s="551">
        <f>IF(Q$6=0,0,VLOOKUP($A15,base!$A:$P,Q$6+4,FALSE))</f>
        <v>0</v>
      </c>
      <c r="R15" s="552"/>
      <c r="S15" s="553">
        <f>'Grandes Itens'!F11</f>
        <v>3053.88</v>
      </c>
      <c r="T15" s="554">
        <f t="shared" si="3"/>
        <v>1.1209444552032588</v>
      </c>
      <c r="U15" s="521"/>
      <c r="V15" s="521"/>
      <c r="W15" s="555">
        <f t="shared" si="4"/>
        <v>100</v>
      </c>
      <c r="X15" s="521"/>
    </row>
    <row r="16" spans="1:24" hidden="1" x14ac:dyDescent="0.2">
      <c r="A16" s="126" t="str">
        <f t="shared" si="5"/>
        <v>3|8</v>
      </c>
      <c r="B16" s="556" t="s">
        <v>323</v>
      </c>
      <c r="C16" s="547" t="s">
        <v>484</v>
      </c>
      <c r="D16" s="548"/>
      <c r="E16" s="549">
        <v>6</v>
      </c>
      <c r="F16" s="550">
        <f>IF(E$6&lt;3,0,IF(F$6=0,0,VLOOKUP($A16,base!$A:$P,F$6+4,FALSE)))</f>
        <v>0</v>
      </c>
      <c r="G16" s="550"/>
      <c r="H16" s="550"/>
      <c r="I16" s="550">
        <f>IF(I$6=0,0,VLOOKUP($A16,base!$A:$P,I$6+4,FALSE))</f>
        <v>0</v>
      </c>
      <c r="J16" s="550">
        <f>IF(J$6=0,0,VLOOKUP($A16,base!$A:$P,J$6+4,FALSE))</f>
        <v>0</v>
      </c>
      <c r="K16" s="550">
        <f>IF(K$6=0,0,VLOOKUP($A16,base!$A:$P,K$6+4,FALSE))</f>
        <v>0</v>
      </c>
      <c r="L16" s="550">
        <f>IF(L$6=0,0,VLOOKUP($A16,base!$A:$P,L$6+4,FALSE))</f>
        <v>0</v>
      </c>
      <c r="M16" s="550">
        <f>IF(M$6=0,0,VLOOKUP($A16,base!$A:$P,M$6+4,FALSE))</f>
        <v>0</v>
      </c>
      <c r="N16" s="550">
        <f>IF(N$6=0,0,VLOOKUP($A16,base!$A:$P,N$6+4,FALSE))</f>
        <v>0</v>
      </c>
      <c r="O16" s="550">
        <f>IF(O$6=0,0,VLOOKUP($A16,base!$A:$P,O$6+4,FALSE))</f>
        <v>0</v>
      </c>
      <c r="P16" s="550">
        <f>IF(P$6=0,0,VLOOKUP($A16,base!$A:$P,P$6+4,FALSE))</f>
        <v>0</v>
      </c>
      <c r="Q16" s="551">
        <f>IF(Q$6=0,0,VLOOKUP($A16,base!$A:$P,Q$6+4,FALSE))</f>
        <v>0</v>
      </c>
      <c r="R16" s="552"/>
      <c r="S16" s="553">
        <f>'Grandes Itens'!F12</f>
        <v>0</v>
      </c>
      <c r="T16" s="554">
        <f t="shared" si="3"/>
        <v>0</v>
      </c>
      <c r="U16" s="521"/>
      <c r="V16" s="521"/>
      <c r="W16" s="555">
        <f t="shared" si="4"/>
        <v>0</v>
      </c>
      <c r="X16" s="521"/>
    </row>
    <row r="17" spans="1:24" hidden="1" x14ac:dyDescent="0.2">
      <c r="A17" s="126" t="str">
        <f t="shared" si="5"/>
        <v>3|9</v>
      </c>
      <c r="B17" s="556" t="s">
        <v>485</v>
      </c>
      <c r="C17" s="547" t="s">
        <v>486</v>
      </c>
      <c r="D17" s="548"/>
      <c r="E17" s="549">
        <v>6</v>
      </c>
      <c r="F17" s="550"/>
      <c r="G17" s="550"/>
      <c r="H17" s="550"/>
      <c r="I17" s="550">
        <f>IF(I$6=0,0,VLOOKUP($A17,base!$A:$P,I$6+4,FALSE))</f>
        <v>0</v>
      </c>
      <c r="J17" s="550">
        <f>IF(J$6=0,0,VLOOKUP($A17,base!$A:$P,J$6+4,FALSE))</f>
        <v>0</v>
      </c>
      <c r="K17" s="550">
        <f>IF(K$6=0,0,VLOOKUP($A17,base!$A:$P,K$6+4,FALSE))</f>
        <v>0</v>
      </c>
      <c r="L17" s="550">
        <f>IF(L$6=0,0,VLOOKUP($A17,base!$A:$P,L$6+4,FALSE))</f>
        <v>0</v>
      </c>
      <c r="M17" s="550">
        <f>IF(M$6=0,0,VLOOKUP($A17,base!$A:$P,M$6+4,FALSE))</f>
        <v>0</v>
      </c>
      <c r="N17" s="550">
        <f>IF(N$6=0,0,VLOOKUP($A17,base!$A:$P,N$6+4,FALSE))</f>
        <v>0</v>
      </c>
      <c r="O17" s="550">
        <f>IF(O$6=0,0,VLOOKUP($A17,base!$A:$P,O$6+4,FALSE))</f>
        <v>0</v>
      </c>
      <c r="P17" s="550">
        <f>IF(P$6=0,0,VLOOKUP($A17,base!$A:$P,P$6+4,FALSE))</f>
        <v>0</v>
      </c>
      <c r="Q17" s="551">
        <f>IF(Q$6=0,0,VLOOKUP($A17,base!$A:$P,Q$6+4,FALSE))</f>
        <v>0</v>
      </c>
      <c r="R17" s="552"/>
      <c r="S17" s="553">
        <f>'Grandes Itens'!F13</f>
        <v>0</v>
      </c>
      <c r="T17" s="554">
        <f t="shared" si="3"/>
        <v>0</v>
      </c>
      <c r="U17" s="521"/>
      <c r="V17" s="521"/>
      <c r="W17" s="555">
        <f t="shared" si="4"/>
        <v>0</v>
      </c>
      <c r="X17" s="521"/>
    </row>
    <row r="18" spans="1:24" x14ac:dyDescent="0.2">
      <c r="A18" s="126" t="str">
        <f t="shared" si="5"/>
        <v>3|6</v>
      </c>
      <c r="B18" s="556" t="s">
        <v>228</v>
      </c>
      <c r="C18" s="547" t="s">
        <v>476</v>
      </c>
      <c r="D18" s="548"/>
      <c r="E18" s="549"/>
      <c r="F18" s="550">
        <f>IF(E$6&lt;3,0,IF(F$6=0,0,VLOOKUP($A18,base!$A:$P,F$6+4,FALSE)))</f>
        <v>0</v>
      </c>
      <c r="G18" s="550">
        <f>IF(E$6&lt;3,0,IF(G$6=0,0,VLOOKUP($A18,base!$A:$P,G$6+4,FALSE)))</f>
        <v>50</v>
      </c>
      <c r="H18" s="550">
        <f>IF(H$6=0,0,VLOOKUP($A18,base!$A:$P,H$6+4,FALSE))</f>
        <v>50</v>
      </c>
      <c r="I18" s="550">
        <f>IF(I$6=0,0,VLOOKUP($A18,base!$A:$P,I$6+4,FALSE))</f>
        <v>0</v>
      </c>
      <c r="J18" s="550">
        <f>IF(J$6=0,0,VLOOKUP($A18,base!$A:$P,J$6+4,FALSE))</f>
        <v>0</v>
      </c>
      <c r="K18" s="550">
        <f>IF(K$6=0,0,VLOOKUP($A18,base!$A:$P,K$6+4,FALSE))</f>
        <v>0</v>
      </c>
      <c r="L18" s="550">
        <f>IF(L$6=0,0,VLOOKUP($A18,base!$A:$P,L$6+4,FALSE))</f>
        <v>0</v>
      </c>
      <c r="M18" s="550">
        <f>IF(M$6=0,0,VLOOKUP($A18,base!$A:$P,M$6+4,FALSE))</f>
        <v>0</v>
      </c>
      <c r="N18" s="550">
        <f>IF(N$6=0,0,VLOOKUP($A18,base!$A:$P,N$6+4,FALSE))</f>
        <v>0</v>
      </c>
      <c r="O18" s="550">
        <f>IF(O$6=0,0,VLOOKUP($A18,base!$A:$P,O$6+4,FALSE))</f>
        <v>0</v>
      </c>
      <c r="P18" s="550">
        <f>IF(P$6=0,0,VLOOKUP($A18,base!$A:$P,P$6+4,FALSE))</f>
        <v>0</v>
      </c>
      <c r="Q18" s="551">
        <f>IF(Q$6=0,0,VLOOKUP($A18,base!$A:$P,Q$6+4,FALSE))</f>
        <v>0</v>
      </c>
      <c r="R18" s="552"/>
      <c r="S18" s="553">
        <f>'Grandes Itens'!F14</f>
        <v>97365.92</v>
      </c>
      <c r="T18" s="554">
        <f t="shared" si="3"/>
        <v>35.738728486307274</v>
      </c>
      <c r="U18" s="521"/>
      <c r="V18" s="521"/>
      <c r="W18" s="555">
        <f t="shared" si="4"/>
        <v>100</v>
      </c>
      <c r="X18" s="521"/>
    </row>
    <row r="19" spans="1:24" hidden="1" x14ac:dyDescent="0.2">
      <c r="A19" s="126" t="str">
        <f t="shared" si="5"/>
        <v>3|11</v>
      </c>
      <c r="B19" s="556" t="s">
        <v>736</v>
      </c>
      <c r="C19" s="547" t="s">
        <v>772</v>
      </c>
      <c r="D19" s="548"/>
      <c r="E19" s="549"/>
      <c r="F19" s="550"/>
      <c r="G19" s="550"/>
      <c r="H19" s="550"/>
      <c r="I19" s="550">
        <f>IF(I$6=0,0,VLOOKUP($A19,base!$A:$P,I$6+4,FALSE))</f>
        <v>0</v>
      </c>
      <c r="J19" s="550">
        <f>IF(J$6=0,0,VLOOKUP($A19,base!$A:$P,J$6+4,FALSE))</f>
        <v>0</v>
      </c>
      <c r="K19" s="550">
        <f>IF(K$6=0,0,VLOOKUP($A19,base!$A:$P,K$6+4,FALSE))</f>
        <v>0</v>
      </c>
      <c r="L19" s="550">
        <f>IF(L$6=0,0,VLOOKUP($A19,base!$A:$P,L$6+4,FALSE))</f>
        <v>0</v>
      </c>
      <c r="M19" s="550">
        <f>IF(M$6=0,0,VLOOKUP($A19,base!$A:$P,M$6+4,FALSE))</f>
        <v>0</v>
      </c>
      <c r="N19" s="550">
        <f>IF(N$6=0,0,VLOOKUP($A19,base!$A:$P,N$6+4,FALSE))</f>
        <v>0</v>
      </c>
      <c r="O19" s="550">
        <f>IF(O$6=0,0,VLOOKUP($A19,base!$A:$P,O$6+4,FALSE))</f>
        <v>0</v>
      </c>
      <c r="P19" s="550">
        <f>IF(P$6=0,0,VLOOKUP($A19,base!$A:$P,P$6+4,FALSE))</f>
        <v>0</v>
      </c>
      <c r="Q19" s="551">
        <f>IF(Q$6=0,0,VLOOKUP($A19,base!$A:$P,Q$6+4,FALSE))</f>
        <v>0</v>
      </c>
      <c r="R19" s="552"/>
      <c r="S19" s="553"/>
      <c r="T19" s="554">
        <f t="shared" si="3"/>
        <v>0</v>
      </c>
      <c r="U19" s="521"/>
      <c r="V19" s="521"/>
      <c r="W19" s="555">
        <f t="shared" si="4"/>
        <v>0</v>
      </c>
      <c r="X19" s="521"/>
    </row>
    <row r="20" spans="1:24" ht="13.5" thickBot="1" x14ac:dyDescent="0.25">
      <c r="A20" s="82"/>
      <c r="B20" s="557"/>
      <c r="C20" s="558"/>
      <c r="D20" s="558"/>
      <c r="E20" s="558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8"/>
      <c r="T20" s="129"/>
      <c r="U20" s="521"/>
      <c r="V20" s="521"/>
      <c r="W20" s="521"/>
      <c r="X20" s="521"/>
    </row>
    <row r="21" spans="1:24" ht="14.25" thickTop="1" thickBot="1" x14ac:dyDescent="0.25">
      <c r="A21" s="82"/>
      <c r="B21" s="559"/>
      <c r="C21" s="130" t="s">
        <v>883</v>
      </c>
      <c r="D21" s="130" t="s">
        <v>883</v>
      </c>
      <c r="E21" s="560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2">
        <f>SUM(S9:S20)</f>
        <v>272438.12</v>
      </c>
      <c r="T21" s="133">
        <f>SUM(T9:T19)</f>
        <v>100</v>
      </c>
      <c r="U21" s="521"/>
      <c r="V21" s="521"/>
      <c r="W21" s="521"/>
      <c r="X21" s="521"/>
    </row>
    <row r="22" spans="1:24" ht="18.75" thickTop="1" x14ac:dyDescent="0.25">
      <c r="A22" s="82"/>
      <c r="B22" s="134" t="s">
        <v>884</v>
      </c>
      <c r="C22" s="135"/>
      <c r="D22" s="135"/>
      <c r="E22" s="135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7"/>
      <c r="U22" s="521"/>
      <c r="V22" s="521"/>
      <c r="W22" s="521"/>
      <c r="X22" s="521"/>
    </row>
    <row r="23" spans="1:24" ht="13.5" thickBot="1" x14ac:dyDescent="0.25">
      <c r="A23" s="82"/>
      <c r="B23" s="534" t="s">
        <v>879</v>
      </c>
      <c r="C23" s="539"/>
      <c r="D23" s="539"/>
      <c r="E23" s="539"/>
      <c r="F23" s="138" t="s">
        <v>885</v>
      </c>
      <c r="G23" s="138"/>
      <c r="H23" s="138"/>
      <c r="I23" s="138"/>
      <c r="J23" s="138"/>
      <c r="K23" s="138"/>
      <c r="L23" s="138"/>
      <c r="M23" s="138"/>
      <c r="N23" s="138"/>
      <c r="O23" s="138"/>
      <c r="P23" s="138"/>
      <c r="Q23" s="139"/>
      <c r="R23" s="531" t="s">
        <v>886</v>
      </c>
      <c r="S23" s="140" t="s">
        <v>517</v>
      </c>
      <c r="T23" s="141" t="s">
        <v>877</v>
      </c>
      <c r="U23" s="521"/>
      <c r="V23" s="521"/>
      <c r="W23" s="521"/>
      <c r="X23" s="521"/>
    </row>
    <row r="24" spans="1:24" ht="13.5" thickTop="1" x14ac:dyDescent="0.2">
      <c r="A24" s="82"/>
      <c r="B24" s="561"/>
      <c r="C24" s="562"/>
      <c r="D24" s="563"/>
      <c r="E24" s="563"/>
      <c r="F24" s="142">
        <f t="shared" ref="F24:Q24" si="6">F6</f>
        <v>1</v>
      </c>
      <c r="G24" s="142">
        <f t="shared" si="6"/>
        <v>2</v>
      </c>
      <c r="H24" s="142">
        <f t="shared" si="6"/>
        <v>3</v>
      </c>
      <c r="I24" s="142">
        <f t="shared" si="6"/>
        <v>0</v>
      </c>
      <c r="J24" s="142">
        <f t="shared" si="6"/>
        <v>0</v>
      </c>
      <c r="K24" s="142">
        <f t="shared" si="6"/>
        <v>0</v>
      </c>
      <c r="L24" s="142">
        <f t="shared" si="6"/>
        <v>0</v>
      </c>
      <c r="M24" s="142">
        <f t="shared" si="6"/>
        <v>0</v>
      </c>
      <c r="N24" s="142">
        <f t="shared" si="6"/>
        <v>0</v>
      </c>
      <c r="O24" s="142">
        <f t="shared" si="6"/>
        <v>0</v>
      </c>
      <c r="P24" s="142">
        <f t="shared" si="6"/>
        <v>0</v>
      </c>
      <c r="Q24" s="143">
        <f t="shared" si="6"/>
        <v>0</v>
      </c>
      <c r="R24" s="564" t="s">
        <v>887</v>
      </c>
      <c r="S24" s="144" t="s">
        <v>879</v>
      </c>
      <c r="T24" s="145" t="s">
        <v>879</v>
      </c>
      <c r="U24" s="521"/>
      <c r="V24" s="521"/>
      <c r="W24" s="521"/>
      <c r="X24" s="521"/>
    </row>
    <row r="25" spans="1:24" hidden="1" x14ac:dyDescent="0.2">
      <c r="A25" s="82"/>
      <c r="B25" s="146" t="s">
        <v>888</v>
      </c>
      <c r="C25" s="147" t="s">
        <v>477</v>
      </c>
      <c r="D25" s="148" t="s">
        <v>889</v>
      </c>
      <c r="E25" s="149" t="s">
        <v>890</v>
      </c>
      <c r="F25" s="150">
        <f t="shared" ref="F25:Q25" si="7">((F9/100)*$S$9)*$T$2</f>
        <v>0</v>
      </c>
      <c r="G25" s="150">
        <f t="shared" si="7"/>
        <v>0</v>
      </c>
      <c r="H25" s="150">
        <f t="shared" si="7"/>
        <v>0</v>
      </c>
      <c r="I25" s="150">
        <f t="shared" si="7"/>
        <v>0</v>
      </c>
      <c r="J25" s="150">
        <f t="shared" si="7"/>
        <v>0</v>
      </c>
      <c r="K25" s="150">
        <f t="shared" si="7"/>
        <v>0</v>
      </c>
      <c r="L25" s="150">
        <f t="shared" si="7"/>
        <v>0</v>
      </c>
      <c r="M25" s="150">
        <f t="shared" si="7"/>
        <v>0</v>
      </c>
      <c r="N25" s="150">
        <f t="shared" si="7"/>
        <v>0</v>
      </c>
      <c r="O25" s="150">
        <f t="shared" si="7"/>
        <v>0</v>
      </c>
      <c r="P25" s="150">
        <f t="shared" si="7"/>
        <v>0</v>
      </c>
      <c r="Q25" s="151">
        <f t="shared" si="7"/>
        <v>0</v>
      </c>
      <c r="R25" s="152">
        <f>COUNTIF(F25:Q25,"&gt;0")</f>
        <v>0</v>
      </c>
      <c r="S25" s="153">
        <f t="shared" ref="S25:S46" si="8">SUM(F25:Q25)</f>
        <v>0</v>
      </c>
      <c r="T25" s="154">
        <f t="shared" ref="T25:T46" si="9">IF($S$51=0,0,(S25/$S$51))</f>
        <v>0</v>
      </c>
      <c r="U25" s="521"/>
      <c r="V25" s="521"/>
      <c r="W25" s="521"/>
      <c r="X25" s="521"/>
    </row>
    <row r="26" spans="1:24" hidden="1" x14ac:dyDescent="0.2">
      <c r="A26" s="82"/>
      <c r="B26" s="146" t="s">
        <v>891</v>
      </c>
      <c r="C26" s="155"/>
      <c r="D26" s="148" t="s">
        <v>892</v>
      </c>
      <c r="E26" s="149" t="s">
        <v>890</v>
      </c>
      <c r="F26" s="150">
        <f>((F9/100)*$S$9)*T3</f>
        <v>0</v>
      </c>
      <c r="G26" s="150">
        <f t="shared" ref="G26:Q26" si="10">((G9/100)*$S$9)*$T$3</f>
        <v>0</v>
      </c>
      <c r="H26" s="150">
        <f t="shared" si="10"/>
        <v>0</v>
      </c>
      <c r="I26" s="150">
        <f t="shared" si="10"/>
        <v>0</v>
      </c>
      <c r="J26" s="150">
        <f t="shared" si="10"/>
        <v>0</v>
      </c>
      <c r="K26" s="150">
        <f t="shared" si="10"/>
        <v>0</v>
      </c>
      <c r="L26" s="150">
        <f t="shared" si="10"/>
        <v>0</v>
      </c>
      <c r="M26" s="150">
        <f t="shared" si="10"/>
        <v>0</v>
      </c>
      <c r="N26" s="150">
        <f t="shared" si="10"/>
        <v>0</v>
      </c>
      <c r="O26" s="150">
        <f t="shared" si="10"/>
        <v>0</v>
      </c>
      <c r="P26" s="150">
        <f t="shared" si="10"/>
        <v>0</v>
      </c>
      <c r="Q26" s="151">
        <f t="shared" si="10"/>
        <v>0</v>
      </c>
      <c r="R26" s="156">
        <f t="shared" ref="R26:R46" si="11">COUNTIF(F26:Q26,"&gt;0")</f>
        <v>0</v>
      </c>
      <c r="S26" s="153">
        <f t="shared" si="8"/>
        <v>0</v>
      </c>
      <c r="T26" s="154">
        <f t="shared" si="9"/>
        <v>0</v>
      </c>
      <c r="U26" s="565"/>
      <c r="V26" s="521"/>
      <c r="W26" s="521"/>
      <c r="X26" s="521"/>
    </row>
    <row r="27" spans="1:24" x14ac:dyDescent="0.2">
      <c r="A27" s="82"/>
      <c r="B27" s="146" t="s">
        <v>888</v>
      </c>
      <c r="C27" s="157" t="s">
        <v>473</v>
      </c>
      <c r="D27" s="149" t="s">
        <v>889</v>
      </c>
      <c r="E27" s="149" t="s">
        <v>890</v>
      </c>
      <c r="F27" s="150">
        <f t="shared" ref="F27:Q27" si="12">((F10/100)*$S$10)*$T$2</f>
        <v>6265.6649999999991</v>
      </c>
      <c r="G27" s="150">
        <f t="shared" si="12"/>
        <v>6265.6649999999991</v>
      </c>
      <c r="H27" s="150">
        <f t="shared" si="12"/>
        <v>0</v>
      </c>
      <c r="I27" s="150">
        <f t="shared" si="12"/>
        <v>0</v>
      </c>
      <c r="J27" s="150">
        <f t="shared" si="12"/>
        <v>0</v>
      </c>
      <c r="K27" s="150">
        <f t="shared" si="12"/>
        <v>0</v>
      </c>
      <c r="L27" s="150">
        <f t="shared" si="12"/>
        <v>0</v>
      </c>
      <c r="M27" s="150">
        <f t="shared" si="12"/>
        <v>0</v>
      </c>
      <c r="N27" s="150">
        <f t="shared" si="12"/>
        <v>0</v>
      </c>
      <c r="O27" s="150">
        <f t="shared" si="12"/>
        <v>0</v>
      </c>
      <c r="P27" s="150">
        <f t="shared" si="12"/>
        <v>0</v>
      </c>
      <c r="Q27" s="151">
        <f t="shared" si="12"/>
        <v>0</v>
      </c>
      <c r="R27" s="156">
        <f t="shared" si="11"/>
        <v>2</v>
      </c>
      <c r="S27" s="153">
        <f t="shared" si="8"/>
        <v>12531.329999999998</v>
      </c>
      <c r="T27" s="154">
        <f t="shared" si="9"/>
        <v>4.5996977221836648E-2</v>
      </c>
      <c r="U27" s="521"/>
      <c r="V27" s="521"/>
      <c r="W27" s="521"/>
      <c r="X27" s="521"/>
    </row>
    <row r="28" spans="1:24" x14ac:dyDescent="0.2">
      <c r="A28" s="82"/>
      <c r="B28" s="146" t="s">
        <v>891</v>
      </c>
      <c r="C28" s="158"/>
      <c r="D28" s="149" t="s">
        <v>892</v>
      </c>
      <c r="E28" s="149" t="s">
        <v>890</v>
      </c>
      <c r="F28" s="150">
        <f t="shared" ref="F28:Q28" si="13">((F10/100)*$S$10)*$T$3</f>
        <v>0</v>
      </c>
      <c r="G28" s="150">
        <f t="shared" si="13"/>
        <v>0</v>
      </c>
      <c r="H28" s="150">
        <f t="shared" si="13"/>
        <v>0</v>
      </c>
      <c r="I28" s="150">
        <f t="shared" si="13"/>
        <v>0</v>
      </c>
      <c r="J28" s="150">
        <f t="shared" si="13"/>
        <v>0</v>
      </c>
      <c r="K28" s="150">
        <f t="shared" si="13"/>
        <v>0</v>
      </c>
      <c r="L28" s="150">
        <f t="shared" si="13"/>
        <v>0</v>
      </c>
      <c r="M28" s="150">
        <f t="shared" si="13"/>
        <v>0</v>
      </c>
      <c r="N28" s="150">
        <f t="shared" si="13"/>
        <v>0</v>
      </c>
      <c r="O28" s="150">
        <f t="shared" si="13"/>
        <v>0</v>
      </c>
      <c r="P28" s="150">
        <f t="shared" si="13"/>
        <v>0</v>
      </c>
      <c r="Q28" s="151">
        <f t="shared" si="13"/>
        <v>0</v>
      </c>
      <c r="R28" s="156">
        <f t="shared" si="11"/>
        <v>0</v>
      </c>
      <c r="S28" s="153">
        <f t="shared" si="8"/>
        <v>0</v>
      </c>
      <c r="T28" s="154">
        <f t="shared" si="9"/>
        <v>0</v>
      </c>
      <c r="U28" s="565"/>
      <c r="V28" s="521"/>
      <c r="W28" s="521"/>
      <c r="X28" s="521"/>
    </row>
    <row r="29" spans="1:24" x14ac:dyDescent="0.2">
      <c r="A29" s="82"/>
      <c r="B29" s="146" t="s">
        <v>893</v>
      </c>
      <c r="C29" s="157" t="s">
        <v>479</v>
      </c>
      <c r="D29" s="149" t="s">
        <v>889</v>
      </c>
      <c r="E29" s="149" t="s">
        <v>890</v>
      </c>
      <c r="F29" s="150">
        <f t="shared" ref="F29:Q29" si="14">((F11/100)*$S$11)*$T$2</f>
        <v>49109.72</v>
      </c>
      <c r="G29" s="150">
        <f t="shared" si="14"/>
        <v>49109.72</v>
      </c>
      <c r="H29" s="150">
        <f t="shared" si="14"/>
        <v>0</v>
      </c>
      <c r="I29" s="150">
        <f t="shared" si="14"/>
        <v>0</v>
      </c>
      <c r="J29" s="150">
        <f t="shared" si="14"/>
        <v>0</v>
      </c>
      <c r="K29" s="150">
        <f t="shared" si="14"/>
        <v>0</v>
      </c>
      <c r="L29" s="150">
        <f t="shared" si="14"/>
        <v>0</v>
      </c>
      <c r="M29" s="150">
        <f t="shared" si="14"/>
        <v>0</v>
      </c>
      <c r="N29" s="150">
        <f t="shared" si="14"/>
        <v>0</v>
      </c>
      <c r="O29" s="150">
        <f t="shared" si="14"/>
        <v>0</v>
      </c>
      <c r="P29" s="150">
        <f t="shared" si="14"/>
        <v>0</v>
      </c>
      <c r="Q29" s="151">
        <f t="shared" si="14"/>
        <v>0</v>
      </c>
      <c r="R29" s="156">
        <f t="shared" si="11"/>
        <v>2</v>
      </c>
      <c r="S29" s="153">
        <f t="shared" si="8"/>
        <v>98219.44</v>
      </c>
      <c r="T29" s="154">
        <f t="shared" si="9"/>
        <v>0.36052017977513573</v>
      </c>
      <c r="U29" s="521"/>
      <c r="V29" s="521"/>
      <c r="W29" s="521"/>
      <c r="X29" s="521"/>
    </row>
    <row r="30" spans="1:24" x14ac:dyDescent="0.2">
      <c r="A30" s="82"/>
      <c r="B30" s="146" t="s">
        <v>894</v>
      </c>
      <c r="C30" s="158"/>
      <c r="D30" s="149" t="s">
        <v>892</v>
      </c>
      <c r="E30" s="149" t="s">
        <v>890</v>
      </c>
      <c r="F30" s="150">
        <f t="shared" ref="F30:Q30" si="15">((F11/100)*$S$11)*$T$3</f>
        <v>0</v>
      </c>
      <c r="G30" s="150">
        <f t="shared" si="15"/>
        <v>0</v>
      </c>
      <c r="H30" s="150">
        <f t="shared" si="15"/>
        <v>0</v>
      </c>
      <c r="I30" s="150">
        <f t="shared" si="15"/>
        <v>0</v>
      </c>
      <c r="J30" s="150">
        <f t="shared" si="15"/>
        <v>0</v>
      </c>
      <c r="K30" s="150">
        <f t="shared" si="15"/>
        <v>0</v>
      </c>
      <c r="L30" s="150">
        <f t="shared" si="15"/>
        <v>0</v>
      </c>
      <c r="M30" s="150">
        <f t="shared" si="15"/>
        <v>0</v>
      </c>
      <c r="N30" s="150">
        <f t="shared" si="15"/>
        <v>0</v>
      </c>
      <c r="O30" s="150">
        <f t="shared" si="15"/>
        <v>0</v>
      </c>
      <c r="P30" s="150">
        <f t="shared" si="15"/>
        <v>0</v>
      </c>
      <c r="Q30" s="151">
        <f t="shared" si="15"/>
        <v>0</v>
      </c>
      <c r="R30" s="156">
        <f t="shared" si="11"/>
        <v>0</v>
      </c>
      <c r="S30" s="153">
        <f t="shared" si="8"/>
        <v>0</v>
      </c>
      <c r="T30" s="154">
        <f t="shared" si="9"/>
        <v>0</v>
      </c>
      <c r="U30" s="565"/>
      <c r="V30" s="521"/>
      <c r="W30" s="521"/>
      <c r="X30" s="521"/>
    </row>
    <row r="31" spans="1:24" x14ac:dyDescent="0.2">
      <c r="A31" s="82"/>
      <c r="B31" s="146" t="s">
        <v>895</v>
      </c>
      <c r="C31" s="157" t="s">
        <v>474</v>
      </c>
      <c r="D31" s="149" t="s">
        <v>889</v>
      </c>
      <c r="E31" s="149" t="s">
        <v>890</v>
      </c>
      <c r="F31" s="150">
        <f>((F12/100)*$S$12)*T2</f>
        <v>12497.147499999999</v>
      </c>
      <c r="G31" s="150">
        <f t="shared" ref="G31:Q31" si="16">((G12/100)*$S$12)*$T$2</f>
        <v>29993.153999999995</v>
      </c>
      <c r="H31" s="150">
        <f t="shared" si="16"/>
        <v>7498.2884999999987</v>
      </c>
      <c r="I31" s="150">
        <f t="shared" si="16"/>
        <v>0</v>
      </c>
      <c r="J31" s="150">
        <f t="shared" si="16"/>
        <v>0</v>
      </c>
      <c r="K31" s="150">
        <f t="shared" si="16"/>
        <v>0</v>
      </c>
      <c r="L31" s="150">
        <f t="shared" si="16"/>
        <v>0</v>
      </c>
      <c r="M31" s="150">
        <f t="shared" si="16"/>
        <v>0</v>
      </c>
      <c r="N31" s="150">
        <f t="shared" si="16"/>
        <v>0</v>
      </c>
      <c r="O31" s="150">
        <f t="shared" si="16"/>
        <v>0</v>
      </c>
      <c r="P31" s="150">
        <f t="shared" si="16"/>
        <v>0</v>
      </c>
      <c r="Q31" s="151">
        <f t="shared" si="16"/>
        <v>0</v>
      </c>
      <c r="R31" s="156">
        <f t="shared" si="11"/>
        <v>3</v>
      </c>
      <c r="S31" s="153">
        <f t="shared" si="8"/>
        <v>49988.59</v>
      </c>
      <c r="T31" s="154">
        <f t="shared" si="9"/>
        <v>0.18348603345229367</v>
      </c>
      <c r="U31" s="521"/>
      <c r="V31" s="521"/>
      <c r="W31" s="521"/>
      <c r="X31" s="521"/>
    </row>
    <row r="32" spans="1:24" x14ac:dyDescent="0.2">
      <c r="A32" s="82"/>
      <c r="B32" s="146" t="s">
        <v>896</v>
      </c>
      <c r="C32" s="158"/>
      <c r="D32" s="149" t="s">
        <v>892</v>
      </c>
      <c r="E32" s="149" t="s">
        <v>890</v>
      </c>
      <c r="F32" s="150">
        <f t="shared" ref="F32:Q32" si="17">((F12/100)*$S$12)*$T$3</f>
        <v>0</v>
      </c>
      <c r="G32" s="150">
        <f t="shared" si="17"/>
        <v>0</v>
      </c>
      <c r="H32" s="150">
        <f t="shared" si="17"/>
        <v>0</v>
      </c>
      <c r="I32" s="150">
        <f t="shared" si="17"/>
        <v>0</v>
      </c>
      <c r="J32" s="150">
        <f t="shared" si="17"/>
        <v>0</v>
      </c>
      <c r="K32" s="150">
        <f t="shared" si="17"/>
        <v>0</v>
      </c>
      <c r="L32" s="150">
        <f t="shared" si="17"/>
        <v>0</v>
      </c>
      <c r="M32" s="150">
        <f t="shared" si="17"/>
        <v>0</v>
      </c>
      <c r="N32" s="150">
        <f t="shared" si="17"/>
        <v>0</v>
      </c>
      <c r="O32" s="150">
        <f t="shared" si="17"/>
        <v>0</v>
      </c>
      <c r="P32" s="150">
        <f t="shared" si="17"/>
        <v>0</v>
      </c>
      <c r="Q32" s="151">
        <f t="shared" si="17"/>
        <v>0</v>
      </c>
      <c r="R32" s="156">
        <f t="shared" si="11"/>
        <v>0</v>
      </c>
      <c r="S32" s="153">
        <f t="shared" si="8"/>
        <v>0</v>
      </c>
      <c r="T32" s="154">
        <f t="shared" si="9"/>
        <v>0</v>
      </c>
      <c r="U32" s="565"/>
      <c r="V32" s="521"/>
      <c r="W32" s="521"/>
      <c r="X32" s="521"/>
    </row>
    <row r="33" spans="1:24" x14ac:dyDescent="0.2">
      <c r="A33" s="82"/>
      <c r="B33" s="146" t="s">
        <v>897</v>
      </c>
      <c r="C33" s="157" t="s">
        <v>475</v>
      </c>
      <c r="D33" s="149" t="s">
        <v>889</v>
      </c>
      <c r="E33" s="149" t="s">
        <v>890</v>
      </c>
      <c r="F33" s="150">
        <f t="shared" ref="F33:Q33" si="18">((F13/100)*$S$13)*$T$2</f>
        <v>0</v>
      </c>
      <c r="G33" s="150">
        <f t="shared" si="18"/>
        <v>5639.48</v>
      </c>
      <c r="H33" s="150">
        <f t="shared" si="18"/>
        <v>5639.48</v>
      </c>
      <c r="I33" s="150">
        <f t="shared" si="18"/>
        <v>0</v>
      </c>
      <c r="J33" s="150">
        <f t="shared" si="18"/>
        <v>0</v>
      </c>
      <c r="K33" s="150">
        <f t="shared" si="18"/>
        <v>0</v>
      </c>
      <c r="L33" s="150">
        <f t="shared" si="18"/>
        <v>0</v>
      </c>
      <c r="M33" s="150">
        <f t="shared" si="18"/>
        <v>0</v>
      </c>
      <c r="N33" s="150">
        <f t="shared" si="18"/>
        <v>0</v>
      </c>
      <c r="O33" s="150">
        <f t="shared" si="18"/>
        <v>0</v>
      </c>
      <c r="P33" s="150">
        <f t="shared" si="18"/>
        <v>0</v>
      </c>
      <c r="Q33" s="151">
        <f t="shared" si="18"/>
        <v>0</v>
      </c>
      <c r="R33" s="156">
        <f t="shared" si="11"/>
        <v>2</v>
      </c>
      <c r="S33" s="153">
        <f t="shared" si="8"/>
        <v>11278.96</v>
      </c>
      <c r="T33" s="154">
        <f t="shared" si="9"/>
        <v>4.1400080135628597E-2</v>
      </c>
      <c r="U33" s="521"/>
      <c r="V33" s="521"/>
      <c r="W33" s="521"/>
      <c r="X33" s="521"/>
    </row>
    <row r="34" spans="1:24" x14ac:dyDescent="0.2">
      <c r="A34" s="82"/>
      <c r="B34" s="146" t="s">
        <v>898</v>
      </c>
      <c r="C34" s="158"/>
      <c r="D34" s="149" t="s">
        <v>892</v>
      </c>
      <c r="E34" s="149" t="s">
        <v>890</v>
      </c>
      <c r="F34" s="150">
        <f t="shared" ref="F34:Q34" si="19">((F13/100)*$S$13)*$T$3</f>
        <v>0</v>
      </c>
      <c r="G34" s="150">
        <f t="shared" si="19"/>
        <v>0</v>
      </c>
      <c r="H34" s="150">
        <f t="shared" si="19"/>
        <v>0</v>
      </c>
      <c r="I34" s="150">
        <f t="shared" si="19"/>
        <v>0</v>
      </c>
      <c r="J34" s="150">
        <f t="shared" si="19"/>
        <v>0</v>
      </c>
      <c r="K34" s="150">
        <f t="shared" si="19"/>
        <v>0</v>
      </c>
      <c r="L34" s="150">
        <f t="shared" si="19"/>
        <v>0</v>
      </c>
      <c r="M34" s="150">
        <f t="shared" si="19"/>
        <v>0</v>
      </c>
      <c r="N34" s="150">
        <f t="shared" si="19"/>
        <v>0</v>
      </c>
      <c r="O34" s="150">
        <f t="shared" si="19"/>
        <v>0</v>
      </c>
      <c r="P34" s="150">
        <f t="shared" si="19"/>
        <v>0</v>
      </c>
      <c r="Q34" s="151">
        <f t="shared" si="19"/>
        <v>0</v>
      </c>
      <c r="R34" s="156">
        <f t="shared" si="11"/>
        <v>0</v>
      </c>
      <c r="S34" s="153">
        <f t="shared" si="8"/>
        <v>0</v>
      </c>
      <c r="T34" s="154">
        <f t="shared" si="9"/>
        <v>0</v>
      </c>
      <c r="U34" s="565"/>
      <c r="V34" s="521"/>
      <c r="W34" s="521"/>
      <c r="X34" s="521"/>
    </row>
    <row r="35" spans="1:24" hidden="1" x14ac:dyDescent="0.2">
      <c r="A35" s="82"/>
      <c r="B35" s="146" t="s">
        <v>901</v>
      </c>
      <c r="C35" s="157" t="s">
        <v>810</v>
      </c>
      <c r="D35" s="149" t="s">
        <v>889</v>
      </c>
      <c r="E35" s="149" t="s">
        <v>890</v>
      </c>
      <c r="F35" s="150">
        <f t="shared" ref="F35:Q35" si="20">((F14/100)*$S$14)*$T$2</f>
        <v>0</v>
      </c>
      <c r="G35" s="150">
        <f t="shared" si="20"/>
        <v>0</v>
      </c>
      <c r="H35" s="150">
        <f t="shared" si="20"/>
        <v>0</v>
      </c>
      <c r="I35" s="150">
        <f t="shared" si="20"/>
        <v>0</v>
      </c>
      <c r="J35" s="150">
        <f t="shared" si="20"/>
        <v>0</v>
      </c>
      <c r="K35" s="150">
        <f t="shared" si="20"/>
        <v>0</v>
      </c>
      <c r="L35" s="150">
        <f t="shared" si="20"/>
        <v>0</v>
      </c>
      <c r="M35" s="150">
        <f t="shared" si="20"/>
        <v>0</v>
      </c>
      <c r="N35" s="150">
        <f t="shared" si="20"/>
        <v>0</v>
      </c>
      <c r="O35" s="150">
        <f t="shared" si="20"/>
        <v>0</v>
      </c>
      <c r="P35" s="150">
        <f t="shared" si="20"/>
        <v>0</v>
      </c>
      <c r="Q35" s="151">
        <f t="shared" si="20"/>
        <v>0</v>
      </c>
      <c r="R35" s="156">
        <f t="shared" si="11"/>
        <v>0</v>
      </c>
      <c r="S35" s="153">
        <f t="shared" si="8"/>
        <v>0</v>
      </c>
      <c r="T35" s="154">
        <f t="shared" si="9"/>
        <v>0</v>
      </c>
      <c r="U35" s="521"/>
      <c r="V35" s="521"/>
      <c r="W35" s="521"/>
      <c r="X35" s="521"/>
    </row>
    <row r="36" spans="1:24" hidden="1" x14ac:dyDescent="0.2">
      <c r="A36" s="82"/>
      <c r="B36" s="146" t="s">
        <v>902</v>
      </c>
      <c r="C36" s="158"/>
      <c r="D36" s="149" t="s">
        <v>892</v>
      </c>
      <c r="E36" s="149" t="s">
        <v>890</v>
      </c>
      <c r="F36" s="150">
        <f t="shared" ref="F36:Q36" si="21">((F14/100)*$S$14)*$T$3</f>
        <v>0</v>
      </c>
      <c r="G36" s="150">
        <f t="shared" si="21"/>
        <v>0</v>
      </c>
      <c r="H36" s="150">
        <f t="shared" si="21"/>
        <v>0</v>
      </c>
      <c r="I36" s="150">
        <f t="shared" si="21"/>
        <v>0</v>
      </c>
      <c r="J36" s="150">
        <f t="shared" si="21"/>
        <v>0</v>
      </c>
      <c r="K36" s="150">
        <f t="shared" si="21"/>
        <v>0</v>
      </c>
      <c r="L36" s="150">
        <f t="shared" si="21"/>
        <v>0</v>
      </c>
      <c r="M36" s="150">
        <f t="shared" si="21"/>
        <v>0</v>
      </c>
      <c r="N36" s="150">
        <f t="shared" si="21"/>
        <v>0</v>
      </c>
      <c r="O36" s="150">
        <f t="shared" si="21"/>
        <v>0</v>
      </c>
      <c r="P36" s="150">
        <f t="shared" si="21"/>
        <v>0</v>
      </c>
      <c r="Q36" s="151">
        <f t="shared" si="21"/>
        <v>0</v>
      </c>
      <c r="R36" s="156">
        <f t="shared" si="11"/>
        <v>0</v>
      </c>
      <c r="S36" s="153">
        <f t="shared" si="8"/>
        <v>0</v>
      </c>
      <c r="T36" s="154">
        <f t="shared" si="9"/>
        <v>0</v>
      </c>
      <c r="U36" s="565"/>
      <c r="V36" s="521"/>
      <c r="W36" s="521"/>
      <c r="X36" s="521"/>
    </row>
    <row r="37" spans="1:24" x14ac:dyDescent="0.2">
      <c r="A37" s="82"/>
      <c r="B37" s="146" t="s">
        <v>899</v>
      </c>
      <c r="C37" s="157" t="s">
        <v>482</v>
      </c>
      <c r="D37" s="149" t="s">
        <v>889</v>
      </c>
      <c r="E37" s="149" t="s">
        <v>890</v>
      </c>
      <c r="F37" s="150">
        <f t="shared" ref="F37:Q37" si="22">((F15/100)*$S$15)*$T$2</f>
        <v>610.77600000000007</v>
      </c>
      <c r="G37" s="150">
        <f t="shared" si="22"/>
        <v>1526.94</v>
      </c>
      <c r="H37" s="150">
        <f t="shared" si="22"/>
        <v>916.16399999999999</v>
      </c>
      <c r="I37" s="150">
        <f t="shared" si="22"/>
        <v>0</v>
      </c>
      <c r="J37" s="150">
        <f t="shared" si="22"/>
        <v>0</v>
      </c>
      <c r="K37" s="150">
        <f t="shared" si="22"/>
        <v>0</v>
      </c>
      <c r="L37" s="150">
        <f t="shared" si="22"/>
        <v>0</v>
      </c>
      <c r="M37" s="150">
        <f t="shared" si="22"/>
        <v>0</v>
      </c>
      <c r="N37" s="150">
        <f t="shared" si="22"/>
        <v>0</v>
      </c>
      <c r="O37" s="150">
        <f t="shared" si="22"/>
        <v>0</v>
      </c>
      <c r="P37" s="150">
        <f t="shared" si="22"/>
        <v>0</v>
      </c>
      <c r="Q37" s="151">
        <f t="shared" si="22"/>
        <v>0</v>
      </c>
      <c r="R37" s="156">
        <f t="shared" si="11"/>
        <v>3</v>
      </c>
      <c r="S37" s="153">
        <f t="shared" si="8"/>
        <v>3053.88</v>
      </c>
      <c r="T37" s="154">
        <f t="shared" si="9"/>
        <v>1.1209444552032587E-2</v>
      </c>
      <c r="U37" s="521"/>
      <c r="V37" s="521"/>
      <c r="W37" s="521"/>
      <c r="X37" s="521"/>
    </row>
    <row r="38" spans="1:24" x14ac:dyDescent="0.2">
      <c r="A38" s="82"/>
      <c r="B38" s="146" t="s">
        <v>900</v>
      </c>
      <c r="C38" s="158"/>
      <c r="D38" s="149" t="s">
        <v>892</v>
      </c>
      <c r="E38" s="149" t="s">
        <v>890</v>
      </c>
      <c r="F38" s="150">
        <f t="shared" ref="F38:Q38" si="23">((F15/100)*$S$15)*$T$3</f>
        <v>0</v>
      </c>
      <c r="G38" s="150">
        <f t="shared" si="23"/>
        <v>0</v>
      </c>
      <c r="H38" s="150">
        <f t="shared" si="23"/>
        <v>0</v>
      </c>
      <c r="I38" s="150">
        <f t="shared" si="23"/>
        <v>0</v>
      </c>
      <c r="J38" s="150">
        <f t="shared" si="23"/>
        <v>0</v>
      </c>
      <c r="K38" s="150">
        <f t="shared" si="23"/>
        <v>0</v>
      </c>
      <c r="L38" s="150">
        <f t="shared" si="23"/>
        <v>0</v>
      </c>
      <c r="M38" s="150">
        <f t="shared" si="23"/>
        <v>0</v>
      </c>
      <c r="N38" s="150">
        <f t="shared" si="23"/>
        <v>0</v>
      </c>
      <c r="O38" s="150">
        <f t="shared" si="23"/>
        <v>0</v>
      </c>
      <c r="P38" s="150">
        <f t="shared" si="23"/>
        <v>0</v>
      </c>
      <c r="Q38" s="151">
        <f t="shared" si="23"/>
        <v>0</v>
      </c>
      <c r="R38" s="156">
        <f t="shared" si="11"/>
        <v>0</v>
      </c>
      <c r="S38" s="153">
        <f t="shared" si="8"/>
        <v>0</v>
      </c>
      <c r="T38" s="154">
        <f t="shared" si="9"/>
        <v>0</v>
      </c>
      <c r="U38" s="565"/>
      <c r="V38" s="521"/>
      <c r="W38" s="521"/>
      <c r="X38" s="521"/>
    </row>
    <row r="39" spans="1:24" hidden="1" x14ac:dyDescent="0.2">
      <c r="A39" s="82"/>
      <c r="B39" s="146" t="s">
        <v>905</v>
      </c>
      <c r="C39" s="157" t="s">
        <v>484</v>
      </c>
      <c r="D39" s="149" t="s">
        <v>889</v>
      </c>
      <c r="E39" s="149" t="s">
        <v>890</v>
      </c>
      <c r="F39" s="150">
        <f t="shared" ref="F39:Q39" si="24">((F16/100)*$S$16)*$T$2</f>
        <v>0</v>
      </c>
      <c r="G39" s="150">
        <f t="shared" si="24"/>
        <v>0</v>
      </c>
      <c r="H39" s="150">
        <f t="shared" si="24"/>
        <v>0</v>
      </c>
      <c r="I39" s="150">
        <f t="shared" si="24"/>
        <v>0</v>
      </c>
      <c r="J39" s="150">
        <f t="shared" si="24"/>
        <v>0</v>
      </c>
      <c r="K39" s="150">
        <f t="shared" si="24"/>
        <v>0</v>
      </c>
      <c r="L39" s="150">
        <f t="shared" si="24"/>
        <v>0</v>
      </c>
      <c r="M39" s="150">
        <f t="shared" si="24"/>
        <v>0</v>
      </c>
      <c r="N39" s="150">
        <f t="shared" si="24"/>
        <v>0</v>
      </c>
      <c r="O39" s="150">
        <f t="shared" si="24"/>
        <v>0</v>
      </c>
      <c r="P39" s="150">
        <f t="shared" si="24"/>
        <v>0</v>
      </c>
      <c r="Q39" s="151">
        <f t="shared" si="24"/>
        <v>0</v>
      </c>
      <c r="R39" s="156">
        <f t="shared" si="11"/>
        <v>0</v>
      </c>
      <c r="S39" s="153">
        <f t="shared" si="8"/>
        <v>0</v>
      </c>
      <c r="T39" s="154">
        <f t="shared" si="9"/>
        <v>0</v>
      </c>
      <c r="U39" s="521"/>
      <c r="V39" s="521"/>
      <c r="W39" s="521"/>
      <c r="X39" s="521"/>
    </row>
    <row r="40" spans="1:24" hidden="1" x14ac:dyDescent="0.2">
      <c r="A40" s="82"/>
      <c r="B40" s="146" t="s">
        <v>906</v>
      </c>
      <c r="C40" s="158"/>
      <c r="D40" s="149" t="s">
        <v>892</v>
      </c>
      <c r="E40" s="149" t="s">
        <v>890</v>
      </c>
      <c r="F40" s="150">
        <f t="shared" ref="F40:Q40" si="25">((F16/100)*$S$16)*$T$3</f>
        <v>0</v>
      </c>
      <c r="G40" s="150">
        <f t="shared" si="25"/>
        <v>0</v>
      </c>
      <c r="H40" s="150">
        <f t="shared" si="25"/>
        <v>0</v>
      </c>
      <c r="I40" s="150">
        <f t="shared" si="25"/>
        <v>0</v>
      </c>
      <c r="J40" s="150">
        <f t="shared" si="25"/>
        <v>0</v>
      </c>
      <c r="K40" s="150">
        <f t="shared" si="25"/>
        <v>0</v>
      </c>
      <c r="L40" s="150">
        <f t="shared" si="25"/>
        <v>0</v>
      </c>
      <c r="M40" s="150">
        <f t="shared" si="25"/>
        <v>0</v>
      </c>
      <c r="N40" s="150">
        <f t="shared" si="25"/>
        <v>0</v>
      </c>
      <c r="O40" s="150">
        <f t="shared" si="25"/>
        <v>0</v>
      </c>
      <c r="P40" s="150">
        <f t="shared" si="25"/>
        <v>0</v>
      </c>
      <c r="Q40" s="151">
        <f t="shared" si="25"/>
        <v>0</v>
      </c>
      <c r="R40" s="156">
        <f t="shared" si="11"/>
        <v>0</v>
      </c>
      <c r="S40" s="153">
        <f t="shared" si="8"/>
        <v>0</v>
      </c>
      <c r="T40" s="154">
        <f t="shared" si="9"/>
        <v>0</v>
      </c>
      <c r="U40" s="565"/>
      <c r="V40" s="521"/>
      <c r="W40" s="521"/>
      <c r="X40" s="521"/>
    </row>
    <row r="41" spans="1:24" hidden="1" x14ac:dyDescent="0.2">
      <c r="A41" s="82"/>
      <c r="B41" s="146" t="s">
        <v>907</v>
      </c>
      <c r="C41" s="157" t="s">
        <v>486</v>
      </c>
      <c r="D41" s="149" t="s">
        <v>889</v>
      </c>
      <c r="E41" s="149" t="s">
        <v>890</v>
      </c>
      <c r="F41" s="150">
        <f t="shared" ref="F41:Q41" si="26">((F17/100)*$S$17)*$T$2</f>
        <v>0</v>
      </c>
      <c r="G41" s="150">
        <f t="shared" si="26"/>
        <v>0</v>
      </c>
      <c r="H41" s="150">
        <f t="shared" si="26"/>
        <v>0</v>
      </c>
      <c r="I41" s="150">
        <f t="shared" si="26"/>
        <v>0</v>
      </c>
      <c r="J41" s="150">
        <f t="shared" si="26"/>
        <v>0</v>
      </c>
      <c r="K41" s="150">
        <f t="shared" si="26"/>
        <v>0</v>
      </c>
      <c r="L41" s="150">
        <f t="shared" si="26"/>
        <v>0</v>
      </c>
      <c r="M41" s="150">
        <f t="shared" si="26"/>
        <v>0</v>
      </c>
      <c r="N41" s="150">
        <f t="shared" si="26"/>
        <v>0</v>
      </c>
      <c r="O41" s="150">
        <f t="shared" si="26"/>
        <v>0</v>
      </c>
      <c r="P41" s="150">
        <f t="shared" si="26"/>
        <v>0</v>
      </c>
      <c r="Q41" s="151">
        <f t="shared" si="26"/>
        <v>0</v>
      </c>
      <c r="R41" s="156">
        <f t="shared" si="11"/>
        <v>0</v>
      </c>
      <c r="S41" s="153">
        <f t="shared" si="8"/>
        <v>0</v>
      </c>
      <c r="T41" s="154">
        <f t="shared" si="9"/>
        <v>0</v>
      </c>
      <c r="U41" s="521"/>
      <c r="V41" s="521"/>
      <c r="W41" s="521"/>
      <c r="X41" s="521"/>
    </row>
    <row r="42" spans="1:24" hidden="1" x14ac:dyDescent="0.2">
      <c r="A42" s="82"/>
      <c r="B42" s="146" t="s">
        <v>908</v>
      </c>
      <c r="C42" s="158"/>
      <c r="D42" s="149" t="s">
        <v>892</v>
      </c>
      <c r="E42" s="149" t="s">
        <v>890</v>
      </c>
      <c r="F42" s="150">
        <f t="shared" ref="F42:Q42" si="27">((F17/100)*$S$17)*$T$3</f>
        <v>0</v>
      </c>
      <c r="G42" s="150">
        <f t="shared" si="27"/>
        <v>0</v>
      </c>
      <c r="H42" s="150">
        <f t="shared" si="27"/>
        <v>0</v>
      </c>
      <c r="I42" s="150">
        <f t="shared" si="27"/>
        <v>0</v>
      </c>
      <c r="J42" s="150">
        <f t="shared" si="27"/>
        <v>0</v>
      </c>
      <c r="K42" s="150">
        <f t="shared" si="27"/>
        <v>0</v>
      </c>
      <c r="L42" s="150">
        <f t="shared" si="27"/>
        <v>0</v>
      </c>
      <c r="M42" s="150">
        <f t="shared" si="27"/>
        <v>0</v>
      </c>
      <c r="N42" s="150">
        <f t="shared" si="27"/>
        <v>0</v>
      </c>
      <c r="O42" s="150">
        <f t="shared" si="27"/>
        <v>0</v>
      </c>
      <c r="P42" s="150">
        <f t="shared" si="27"/>
        <v>0</v>
      </c>
      <c r="Q42" s="151">
        <f t="shared" si="27"/>
        <v>0</v>
      </c>
      <c r="R42" s="156">
        <f t="shared" si="11"/>
        <v>0</v>
      </c>
      <c r="S42" s="153">
        <f t="shared" si="8"/>
        <v>0</v>
      </c>
      <c r="T42" s="154">
        <f t="shared" si="9"/>
        <v>0</v>
      </c>
      <c r="U42" s="565"/>
      <c r="V42" s="521"/>
      <c r="W42" s="521"/>
      <c r="X42" s="521"/>
    </row>
    <row r="43" spans="1:24" x14ac:dyDescent="0.2">
      <c r="A43" s="82"/>
      <c r="B43" s="146" t="s">
        <v>901</v>
      </c>
      <c r="C43" s="157" t="s">
        <v>476</v>
      </c>
      <c r="D43" s="149" t="s">
        <v>889</v>
      </c>
      <c r="E43" s="149" t="s">
        <v>890</v>
      </c>
      <c r="F43" s="150">
        <f t="shared" ref="F43:Q43" si="28">((F18/100)*$S$18)*$T$2</f>
        <v>0</v>
      </c>
      <c r="G43" s="150">
        <f t="shared" si="28"/>
        <v>48682.96</v>
      </c>
      <c r="H43" s="150">
        <f t="shared" si="28"/>
        <v>48682.96</v>
      </c>
      <c r="I43" s="150">
        <f t="shared" si="28"/>
        <v>0</v>
      </c>
      <c r="J43" s="150">
        <f t="shared" si="28"/>
        <v>0</v>
      </c>
      <c r="K43" s="150">
        <f t="shared" si="28"/>
        <v>0</v>
      </c>
      <c r="L43" s="150">
        <f t="shared" si="28"/>
        <v>0</v>
      </c>
      <c r="M43" s="150">
        <f t="shared" si="28"/>
        <v>0</v>
      </c>
      <c r="N43" s="150">
        <f t="shared" si="28"/>
        <v>0</v>
      </c>
      <c r="O43" s="150">
        <f t="shared" si="28"/>
        <v>0</v>
      </c>
      <c r="P43" s="150">
        <f t="shared" si="28"/>
        <v>0</v>
      </c>
      <c r="Q43" s="151">
        <f t="shared" si="28"/>
        <v>0</v>
      </c>
      <c r="R43" s="156">
        <f t="shared" si="11"/>
        <v>2</v>
      </c>
      <c r="S43" s="153">
        <f t="shared" si="8"/>
        <v>97365.92</v>
      </c>
      <c r="T43" s="154">
        <f t="shared" si="9"/>
        <v>0.35738728486307275</v>
      </c>
      <c r="U43" s="521"/>
      <c r="V43" s="521"/>
      <c r="W43" s="521"/>
      <c r="X43" s="521"/>
    </row>
    <row r="44" spans="1:24" x14ac:dyDescent="0.2">
      <c r="A44" s="82"/>
      <c r="B44" s="146" t="s">
        <v>902</v>
      </c>
      <c r="C44" s="158"/>
      <c r="D44" s="149" t="s">
        <v>892</v>
      </c>
      <c r="E44" s="149" t="s">
        <v>890</v>
      </c>
      <c r="F44" s="150">
        <f t="shared" ref="F44:Q44" si="29">((F18/100)*$S$18)*$T$3</f>
        <v>0</v>
      </c>
      <c r="G44" s="150">
        <f t="shared" si="29"/>
        <v>0</v>
      </c>
      <c r="H44" s="150">
        <f t="shared" si="29"/>
        <v>0</v>
      </c>
      <c r="I44" s="150">
        <f t="shared" si="29"/>
        <v>0</v>
      </c>
      <c r="J44" s="150">
        <f t="shared" si="29"/>
        <v>0</v>
      </c>
      <c r="K44" s="150">
        <f t="shared" si="29"/>
        <v>0</v>
      </c>
      <c r="L44" s="150">
        <f t="shared" si="29"/>
        <v>0</v>
      </c>
      <c r="M44" s="150">
        <f t="shared" si="29"/>
        <v>0</v>
      </c>
      <c r="N44" s="150">
        <f t="shared" si="29"/>
        <v>0</v>
      </c>
      <c r="O44" s="150">
        <f t="shared" si="29"/>
        <v>0</v>
      </c>
      <c r="P44" s="150">
        <f t="shared" si="29"/>
        <v>0</v>
      </c>
      <c r="Q44" s="151">
        <f t="shared" si="29"/>
        <v>0</v>
      </c>
      <c r="R44" s="156">
        <f t="shared" si="11"/>
        <v>0</v>
      </c>
      <c r="S44" s="153">
        <f t="shared" si="8"/>
        <v>0</v>
      </c>
      <c r="T44" s="154">
        <f t="shared" si="9"/>
        <v>0</v>
      </c>
      <c r="U44" s="565"/>
      <c r="V44" s="521"/>
      <c r="W44" s="521"/>
      <c r="X44" s="521"/>
    </row>
    <row r="45" spans="1:24" hidden="1" x14ac:dyDescent="0.2">
      <c r="A45" s="82"/>
      <c r="B45" s="146" t="s">
        <v>911</v>
      </c>
      <c r="C45" s="157" t="s">
        <v>772</v>
      </c>
      <c r="D45" s="149" t="s">
        <v>889</v>
      </c>
      <c r="E45" s="149" t="s">
        <v>890</v>
      </c>
      <c r="F45" s="150">
        <f t="shared" ref="F45:Q45" si="30">((F19/100)*$S$19)*$T$2</f>
        <v>0</v>
      </c>
      <c r="G45" s="150">
        <f t="shared" si="30"/>
        <v>0</v>
      </c>
      <c r="H45" s="150">
        <f t="shared" si="30"/>
        <v>0</v>
      </c>
      <c r="I45" s="150">
        <f t="shared" si="30"/>
        <v>0</v>
      </c>
      <c r="J45" s="150">
        <f t="shared" si="30"/>
        <v>0</v>
      </c>
      <c r="K45" s="150">
        <f t="shared" si="30"/>
        <v>0</v>
      </c>
      <c r="L45" s="150">
        <f t="shared" si="30"/>
        <v>0</v>
      </c>
      <c r="M45" s="150">
        <f t="shared" si="30"/>
        <v>0</v>
      </c>
      <c r="N45" s="150">
        <f t="shared" si="30"/>
        <v>0</v>
      </c>
      <c r="O45" s="150">
        <f t="shared" si="30"/>
        <v>0</v>
      </c>
      <c r="P45" s="150">
        <f t="shared" si="30"/>
        <v>0</v>
      </c>
      <c r="Q45" s="151">
        <f t="shared" si="30"/>
        <v>0</v>
      </c>
      <c r="R45" s="156">
        <f t="shared" si="11"/>
        <v>0</v>
      </c>
      <c r="S45" s="153">
        <f t="shared" si="8"/>
        <v>0</v>
      </c>
      <c r="T45" s="154">
        <f t="shared" si="9"/>
        <v>0</v>
      </c>
      <c r="U45" s="521"/>
      <c r="V45" s="521"/>
      <c r="W45" s="521"/>
      <c r="X45" s="521"/>
    </row>
    <row r="46" spans="1:24" hidden="1" x14ac:dyDescent="0.2">
      <c r="A46" s="82"/>
      <c r="B46" s="146" t="s">
        <v>912</v>
      </c>
      <c r="C46" s="158"/>
      <c r="D46" s="149" t="s">
        <v>892</v>
      </c>
      <c r="E46" s="149" t="s">
        <v>890</v>
      </c>
      <c r="F46" s="150">
        <f t="shared" ref="F46:Q46" si="31">((F19/100)*$S$19)*$T$3</f>
        <v>0</v>
      </c>
      <c r="G46" s="150">
        <f t="shared" si="31"/>
        <v>0</v>
      </c>
      <c r="H46" s="150">
        <f t="shared" si="31"/>
        <v>0</v>
      </c>
      <c r="I46" s="150">
        <f t="shared" si="31"/>
        <v>0</v>
      </c>
      <c r="J46" s="150">
        <f t="shared" si="31"/>
        <v>0</v>
      </c>
      <c r="K46" s="150">
        <f t="shared" si="31"/>
        <v>0</v>
      </c>
      <c r="L46" s="150">
        <f t="shared" si="31"/>
        <v>0</v>
      </c>
      <c r="M46" s="150">
        <f t="shared" si="31"/>
        <v>0</v>
      </c>
      <c r="N46" s="150">
        <f t="shared" si="31"/>
        <v>0</v>
      </c>
      <c r="O46" s="150">
        <f t="shared" si="31"/>
        <v>0</v>
      </c>
      <c r="P46" s="150">
        <f t="shared" si="31"/>
        <v>0</v>
      </c>
      <c r="Q46" s="151">
        <f t="shared" si="31"/>
        <v>0</v>
      </c>
      <c r="R46" s="156">
        <f t="shared" si="11"/>
        <v>0</v>
      </c>
      <c r="S46" s="153">
        <f t="shared" si="8"/>
        <v>0</v>
      </c>
      <c r="T46" s="154">
        <f t="shared" si="9"/>
        <v>0</v>
      </c>
      <c r="U46" s="565"/>
      <c r="V46" s="521"/>
      <c r="W46" s="521"/>
      <c r="X46" s="521"/>
    </row>
    <row r="47" spans="1:24" x14ac:dyDescent="0.2">
      <c r="A47" s="82"/>
      <c r="B47" s="159"/>
      <c r="C47" s="160"/>
      <c r="D47" s="160"/>
      <c r="E47" s="160"/>
      <c r="F47" s="161"/>
      <c r="G47" s="161"/>
      <c r="H47" s="161"/>
      <c r="I47" s="161"/>
      <c r="J47" s="161"/>
      <c r="K47" s="161"/>
      <c r="L47" s="161"/>
      <c r="M47" s="161"/>
      <c r="N47" s="161"/>
      <c r="O47" s="161"/>
      <c r="P47" s="161"/>
      <c r="Q47" s="162"/>
      <c r="R47" s="161"/>
      <c r="S47" s="161"/>
      <c r="T47" s="163"/>
      <c r="U47" s="521"/>
      <c r="V47" s="521"/>
      <c r="W47" s="521"/>
      <c r="X47" s="521"/>
    </row>
    <row r="48" spans="1:24" x14ac:dyDescent="0.2">
      <c r="A48" s="82"/>
      <c r="B48" s="146" t="s">
        <v>913</v>
      </c>
      <c r="C48" s="157" t="s">
        <v>883</v>
      </c>
      <c r="D48" s="155" t="s">
        <v>889</v>
      </c>
      <c r="E48" s="155" t="s">
        <v>890</v>
      </c>
      <c r="F48" s="164">
        <f t="shared" ref="F48:Q48" si="32">SUMIF($D$25:$D$46,"FINANCIAMENTO",F$25:F$46)</f>
        <v>68483.308499999999</v>
      </c>
      <c r="G48" s="164">
        <f t="shared" si="32"/>
        <v>141217.91899999999</v>
      </c>
      <c r="H48" s="164">
        <f t="shared" si="32"/>
        <v>62736.892500000002</v>
      </c>
      <c r="I48" s="164">
        <f t="shared" si="32"/>
        <v>0</v>
      </c>
      <c r="J48" s="164">
        <f t="shared" si="32"/>
        <v>0</v>
      </c>
      <c r="K48" s="164">
        <f t="shared" si="32"/>
        <v>0</v>
      </c>
      <c r="L48" s="164">
        <f t="shared" si="32"/>
        <v>0</v>
      </c>
      <c r="M48" s="164">
        <f t="shared" si="32"/>
        <v>0</v>
      </c>
      <c r="N48" s="164">
        <f t="shared" si="32"/>
        <v>0</v>
      </c>
      <c r="O48" s="164">
        <f t="shared" si="32"/>
        <v>0</v>
      </c>
      <c r="P48" s="164">
        <f t="shared" si="32"/>
        <v>0</v>
      </c>
      <c r="Q48" s="165">
        <f t="shared" si="32"/>
        <v>0</v>
      </c>
      <c r="R48" s="166"/>
      <c r="S48" s="167">
        <f>SUMIF($D$25:$D$46,"FINANCIAMENTO",S$25:S$46)</f>
        <v>272438.12</v>
      </c>
      <c r="T48" s="168">
        <f>SUMIF($D$25:$D$46,"FINANCIAMENTO",T$25:T$46)</f>
        <v>1</v>
      </c>
      <c r="U48" s="521"/>
      <c r="V48" s="521"/>
      <c r="W48" s="521"/>
      <c r="X48" s="521"/>
    </row>
    <row r="49" spans="1:24" x14ac:dyDescent="0.2">
      <c r="A49" s="82"/>
      <c r="B49" s="146" t="s">
        <v>914</v>
      </c>
      <c r="C49" s="158"/>
      <c r="D49" s="169" t="s">
        <v>892</v>
      </c>
      <c r="E49" s="169" t="s">
        <v>890</v>
      </c>
      <c r="F49" s="164">
        <f t="shared" ref="F49:T49" si="33">SUMIF($D$25:$D$46,"CONTRAPARTIDA",F$25:F$46)</f>
        <v>0</v>
      </c>
      <c r="G49" s="164">
        <f t="shared" si="33"/>
        <v>0</v>
      </c>
      <c r="H49" s="164">
        <f t="shared" si="33"/>
        <v>0</v>
      </c>
      <c r="I49" s="164">
        <f t="shared" si="33"/>
        <v>0</v>
      </c>
      <c r="J49" s="164">
        <f t="shared" si="33"/>
        <v>0</v>
      </c>
      <c r="K49" s="164">
        <f t="shared" si="33"/>
        <v>0</v>
      </c>
      <c r="L49" s="164">
        <f t="shared" si="33"/>
        <v>0</v>
      </c>
      <c r="M49" s="164">
        <f t="shared" si="33"/>
        <v>0</v>
      </c>
      <c r="N49" s="164">
        <f t="shared" si="33"/>
        <v>0</v>
      </c>
      <c r="O49" s="164">
        <f t="shared" si="33"/>
        <v>0</v>
      </c>
      <c r="P49" s="164">
        <f t="shared" si="33"/>
        <v>0</v>
      </c>
      <c r="Q49" s="165">
        <f t="shared" si="33"/>
        <v>0</v>
      </c>
      <c r="R49" s="170"/>
      <c r="S49" s="167">
        <f t="shared" si="33"/>
        <v>0</v>
      </c>
      <c r="T49" s="168">
        <f t="shared" si="33"/>
        <v>0</v>
      </c>
      <c r="U49" s="521"/>
      <c r="V49" s="521"/>
      <c r="W49" s="521"/>
      <c r="X49" s="521"/>
    </row>
    <row r="50" spans="1:24" x14ac:dyDescent="0.2">
      <c r="A50" s="82"/>
      <c r="B50" s="171"/>
      <c r="C50" s="160"/>
      <c r="D50" s="160"/>
      <c r="E50" s="160"/>
      <c r="F50" s="161"/>
      <c r="G50" s="161"/>
      <c r="H50" s="161"/>
      <c r="I50" s="161"/>
      <c r="J50" s="161"/>
      <c r="K50" s="161"/>
      <c r="L50" s="161"/>
      <c r="M50" s="161"/>
      <c r="N50" s="161"/>
      <c r="O50" s="161"/>
      <c r="P50" s="161"/>
      <c r="Q50" s="162"/>
      <c r="R50" s="161"/>
      <c r="S50" s="172"/>
      <c r="T50" s="173"/>
      <c r="U50" s="521"/>
      <c r="V50" s="521"/>
      <c r="W50" s="521"/>
      <c r="X50" s="521"/>
    </row>
    <row r="51" spans="1:24" ht="15" customHeight="1" thickBot="1" x14ac:dyDescent="0.25">
      <c r="A51" s="82"/>
      <c r="B51" s="174" t="s">
        <v>915</v>
      </c>
      <c r="C51" s="566"/>
      <c r="D51" s="566"/>
      <c r="E51" s="567" t="s">
        <v>890</v>
      </c>
      <c r="F51" s="175">
        <f t="shared" ref="F51:Q51" si="34">SUM(F48:F49)</f>
        <v>68483.308499999999</v>
      </c>
      <c r="G51" s="175">
        <f t="shared" si="34"/>
        <v>141217.91899999999</v>
      </c>
      <c r="H51" s="175">
        <f t="shared" si="34"/>
        <v>62736.892500000002</v>
      </c>
      <c r="I51" s="175">
        <f t="shared" si="34"/>
        <v>0</v>
      </c>
      <c r="J51" s="175">
        <f t="shared" si="34"/>
        <v>0</v>
      </c>
      <c r="K51" s="175">
        <f t="shared" si="34"/>
        <v>0</v>
      </c>
      <c r="L51" s="176">
        <f t="shared" si="34"/>
        <v>0</v>
      </c>
      <c r="M51" s="176">
        <f t="shared" si="34"/>
        <v>0</v>
      </c>
      <c r="N51" s="176">
        <f t="shared" si="34"/>
        <v>0</v>
      </c>
      <c r="O51" s="176">
        <f t="shared" si="34"/>
        <v>0</v>
      </c>
      <c r="P51" s="176">
        <f t="shared" si="34"/>
        <v>0</v>
      </c>
      <c r="Q51" s="177">
        <f t="shared" si="34"/>
        <v>0</v>
      </c>
      <c r="R51" s="178"/>
      <c r="S51" s="179">
        <f>SUM(F51:Q51)</f>
        <v>272438.12</v>
      </c>
      <c r="T51" s="180">
        <f>SUM(T48:T49)</f>
        <v>1</v>
      </c>
      <c r="U51" s="521"/>
      <c r="V51" s="521"/>
      <c r="W51" s="521"/>
      <c r="X51" s="521"/>
    </row>
    <row r="52" spans="1:24" ht="15" customHeight="1" thickTop="1" thickBot="1" x14ac:dyDescent="0.25">
      <c r="A52" s="82"/>
      <c r="B52" s="181" t="s">
        <v>916</v>
      </c>
      <c r="C52" s="568"/>
      <c r="D52" s="568"/>
      <c r="E52" s="569" t="s">
        <v>890</v>
      </c>
      <c r="F52" s="182">
        <f t="shared" ref="F52:Q52" si="35">IF($S$51=0,0,F51/$S$51)</f>
        <v>0.25137197577196613</v>
      </c>
      <c r="G52" s="182">
        <f t="shared" si="35"/>
        <v>0.51834860334522936</v>
      </c>
      <c r="H52" s="182">
        <f t="shared" si="35"/>
        <v>0.23027942088280451</v>
      </c>
      <c r="I52" s="182">
        <f t="shared" si="35"/>
        <v>0</v>
      </c>
      <c r="J52" s="182">
        <f t="shared" si="35"/>
        <v>0</v>
      </c>
      <c r="K52" s="182">
        <f t="shared" si="35"/>
        <v>0</v>
      </c>
      <c r="L52" s="182">
        <f t="shared" si="35"/>
        <v>0</v>
      </c>
      <c r="M52" s="182">
        <f t="shared" si="35"/>
        <v>0</v>
      </c>
      <c r="N52" s="182">
        <f t="shared" si="35"/>
        <v>0</v>
      </c>
      <c r="O52" s="182">
        <f t="shared" si="35"/>
        <v>0</v>
      </c>
      <c r="P52" s="182">
        <f t="shared" si="35"/>
        <v>0</v>
      </c>
      <c r="Q52" s="183">
        <f t="shared" si="35"/>
        <v>0</v>
      </c>
      <c r="R52" s="184"/>
      <c r="S52" s="179">
        <f>S48+S49</f>
        <v>272438.12</v>
      </c>
      <c r="T52" s="185">
        <f>SUM(F52:Q52)</f>
        <v>1</v>
      </c>
      <c r="U52" s="521"/>
      <c r="V52" s="521"/>
      <c r="W52" s="521"/>
      <c r="X52" s="521"/>
    </row>
    <row r="53" spans="1:24" ht="15" customHeight="1" thickTop="1" thickBot="1" x14ac:dyDescent="0.25">
      <c r="A53" s="82"/>
      <c r="B53" s="186" t="s">
        <v>917</v>
      </c>
      <c r="C53" s="570"/>
      <c r="D53" s="570"/>
      <c r="E53" s="571" t="s">
        <v>890</v>
      </c>
      <c r="F53" s="187">
        <f>F52</f>
        <v>0.25137197577196613</v>
      </c>
      <c r="G53" s="187">
        <f t="shared" ref="G53:H53" si="36">IF(G51=0,0,F53+G52)</f>
        <v>0.76972057911719549</v>
      </c>
      <c r="H53" s="187">
        <f t="shared" si="36"/>
        <v>1</v>
      </c>
      <c r="I53" s="187">
        <f>IF(I51=0,0,H53+I52)</f>
        <v>0</v>
      </c>
      <c r="J53" s="187">
        <f t="shared" ref="J53:Q53" si="37">IF(J51=0,0,I53+J52)</f>
        <v>0</v>
      </c>
      <c r="K53" s="187">
        <f t="shared" si="37"/>
        <v>0</v>
      </c>
      <c r="L53" s="187">
        <f t="shared" si="37"/>
        <v>0</v>
      </c>
      <c r="M53" s="187">
        <f t="shared" si="37"/>
        <v>0</v>
      </c>
      <c r="N53" s="187">
        <f t="shared" si="37"/>
        <v>0</v>
      </c>
      <c r="O53" s="187">
        <f t="shared" si="37"/>
        <v>0</v>
      </c>
      <c r="P53" s="187">
        <f t="shared" si="37"/>
        <v>0</v>
      </c>
      <c r="Q53" s="188">
        <f t="shared" si="37"/>
        <v>0</v>
      </c>
      <c r="R53" s="189"/>
      <c r="S53" s="190" t="str">
        <f>IF(S51=S52,"OK","CORRIGIR")</f>
        <v>OK</v>
      </c>
      <c r="T53" s="191" t="str">
        <f>IF(T51=T52,"OK","CORRIGIR")</f>
        <v>OK</v>
      </c>
      <c r="U53" s="521"/>
      <c r="V53" s="521"/>
      <c r="W53" s="521"/>
      <c r="X53" s="521"/>
    </row>
    <row r="54" spans="1:24" ht="15" customHeight="1" x14ac:dyDescent="0.2">
      <c r="A54" s="82"/>
      <c r="B54" s="192" t="s">
        <v>918</v>
      </c>
      <c r="C54" s="193"/>
      <c r="D54" s="194"/>
      <c r="E54" s="195"/>
      <c r="F54" s="193" t="s">
        <v>919</v>
      </c>
      <c r="G54" s="196"/>
      <c r="H54" s="196"/>
      <c r="I54" s="197"/>
      <c r="J54" s="198" t="s">
        <v>920</v>
      </c>
      <c r="K54" s="199"/>
      <c r="L54" s="199"/>
      <c r="M54" s="200"/>
      <c r="N54" s="201" t="s">
        <v>919</v>
      </c>
      <c r="O54" s="202"/>
      <c r="P54" s="203"/>
      <c r="Q54" s="193" t="s">
        <v>921</v>
      </c>
      <c r="R54" s="572"/>
      <c r="S54" s="572"/>
      <c r="T54" s="573"/>
      <c r="U54" s="521"/>
      <c r="V54" s="521"/>
      <c r="W54" s="521"/>
      <c r="X54" s="521"/>
    </row>
    <row r="55" spans="1:24" ht="19.5" customHeight="1" thickBot="1" x14ac:dyDescent="0.25">
      <c r="A55" s="82"/>
      <c r="B55" s="574"/>
      <c r="C55" s="575"/>
      <c r="D55" s="576"/>
      <c r="E55" s="577"/>
      <c r="F55" s="577"/>
      <c r="G55" s="578" t="s">
        <v>922</v>
      </c>
      <c r="H55" s="577"/>
      <c r="I55" s="579"/>
      <c r="J55" s="580"/>
      <c r="K55" s="581"/>
      <c r="L55" s="582"/>
      <c r="M55" s="583"/>
      <c r="N55" s="584"/>
      <c r="O55" s="585" t="s">
        <v>923</v>
      </c>
      <c r="P55" s="586"/>
      <c r="Q55" s="587"/>
      <c r="R55" s="204"/>
      <c r="S55" s="204"/>
      <c r="T55" s="588"/>
      <c r="U55" s="521"/>
      <c r="V55" s="521"/>
      <c r="W55" s="521"/>
      <c r="X55" s="521"/>
    </row>
  </sheetData>
  <pageMargins left="0.78740157480314965" right="0.78740157480314965" top="0.78740157480314965" bottom="0.78740157480314965" header="0.51181102362204722" footer="0.51181102362204722"/>
  <pageSetup paperSize="8" scale="99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79A40-4514-4559-A39C-BC30789377DD}">
  <sheetPr>
    <pageSetUpPr fitToPage="1"/>
  </sheetPr>
  <dimension ref="A1:Q66"/>
  <sheetViews>
    <sheetView zoomScaleNormal="100" workbookViewId="0">
      <selection activeCell="W1" sqref="W1"/>
    </sheetView>
  </sheetViews>
  <sheetFormatPr defaultColWidth="14.6640625" defaultRowHeight="12.75" x14ac:dyDescent="0.2"/>
  <cols>
    <col min="1" max="1" width="58.5" style="513" customWidth="1"/>
    <col min="2" max="3" width="25.6640625" style="513" customWidth="1"/>
    <col min="4" max="8" width="13.5" style="443" customWidth="1"/>
    <col min="9" max="19" width="13.5" style="438" customWidth="1"/>
    <col min="20" max="257" width="14.6640625" style="438"/>
    <col min="258" max="258" width="47.6640625" style="438" customWidth="1"/>
    <col min="259" max="259" width="43.83203125" style="438" customWidth="1"/>
    <col min="260" max="513" width="14.6640625" style="438"/>
    <col min="514" max="514" width="47.6640625" style="438" customWidth="1"/>
    <col min="515" max="515" width="43.83203125" style="438" customWidth="1"/>
    <col min="516" max="769" width="14.6640625" style="438"/>
    <col min="770" max="770" width="47.6640625" style="438" customWidth="1"/>
    <col min="771" max="771" width="43.83203125" style="438" customWidth="1"/>
    <col min="772" max="1025" width="14.6640625" style="438"/>
    <col min="1026" max="1026" width="47.6640625" style="438" customWidth="1"/>
    <col min="1027" max="1027" width="43.83203125" style="438" customWidth="1"/>
    <col min="1028" max="1281" width="14.6640625" style="438"/>
    <col min="1282" max="1282" width="47.6640625" style="438" customWidth="1"/>
    <col min="1283" max="1283" width="43.83203125" style="438" customWidth="1"/>
    <col min="1284" max="1537" width="14.6640625" style="438"/>
    <col min="1538" max="1538" width="47.6640625" style="438" customWidth="1"/>
    <col min="1539" max="1539" width="43.83203125" style="438" customWidth="1"/>
    <col min="1540" max="1793" width="14.6640625" style="438"/>
    <col min="1794" max="1794" width="47.6640625" style="438" customWidth="1"/>
    <col min="1795" max="1795" width="43.83203125" style="438" customWidth="1"/>
    <col min="1796" max="2049" width="14.6640625" style="438"/>
    <col min="2050" max="2050" width="47.6640625" style="438" customWidth="1"/>
    <col min="2051" max="2051" width="43.83203125" style="438" customWidth="1"/>
    <col min="2052" max="2305" width="14.6640625" style="438"/>
    <col min="2306" max="2306" width="47.6640625" style="438" customWidth="1"/>
    <col min="2307" max="2307" width="43.83203125" style="438" customWidth="1"/>
    <col min="2308" max="2561" width="14.6640625" style="438"/>
    <col min="2562" max="2562" width="47.6640625" style="438" customWidth="1"/>
    <col min="2563" max="2563" width="43.83203125" style="438" customWidth="1"/>
    <col min="2564" max="2817" width="14.6640625" style="438"/>
    <col min="2818" max="2818" width="47.6640625" style="438" customWidth="1"/>
    <col min="2819" max="2819" width="43.83203125" style="438" customWidth="1"/>
    <col min="2820" max="3073" width="14.6640625" style="438"/>
    <col min="3074" max="3074" width="47.6640625" style="438" customWidth="1"/>
    <col min="3075" max="3075" width="43.83203125" style="438" customWidth="1"/>
    <col min="3076" max="3329" width="14.6640625" style="438"/>
    <col min="3330" max="3330" width="47.6640625" style="438" customWidth="1"/>
    <col min="3331" max="3331" width="43.83203125" style="438" customWidth="1"/>
    <col min="3332" max="3585" width="14.6640625" style="438"/>
    <col min="3586" max="3586" width="47.6640625" style="438" customWidth="1"/>
    <col min="3587" max="3587" width="43.83203125" style="438" customWidth="1"/>
    <col min="3588" max="3841" width="14.6640625" style="438"/>
    <col min="3842" max="3842" width="47.6640625" style="438" customWidth="1"/>
    <col min="3843" max="3843" width="43.83203125" style="438" customWidth="1"/>
    <col min="3844" max="4097" width="14.6640625" style="438"/>
    <col min="4098" max="4098" width="47.6640625" style="438" customWidth="1"/>
    <col min="4099" max="4099" width="43.83203125" style="438" customWidth="1"/>
    <col min="4100" max="4353" width="14.6640625" style="438"/>
    <col min="4354" max="4354" width="47.6640625" style="438" customWidth="1"/>
    <col min="4355" max="4355" width="43.83203125" style="438" customWidth="1"/>
    <col min="4356" max="4609" width="14.6640625" style="438"/>
    <col min="4610" max="4610" width="47.6640625" style="438" customWidth="1"/>
    <col min="4611" max="4611" width="43.83203125" style="438" customWidth="1"/>
    <col min="4612" max="4865" width="14.6640625" style="438"/>
    <col min="4866" max="4866" width="47.6640625" style="438" customWidth="1"/>
    <col min="4867" max="4867" width="43.83203125" style="438" customWidth="1"/>
    <col min="4868" max="5121" width="14.6640625" style="438"/>
    <col min="5122" max="5122" width="47.6640625" style="438" customWidth="1"/>
    <col min="5123" max="5123" width="43.83203125" style="438" customWidth="1"/>
    <col min="5124" max="5377" width="14.6640625" style="438"/>
    <col min="5378" max="5378" width="47.6640625" style="438" customWidth="1"/>
    <col min="5379" max="5379" width="43.83203125" style="438" customWidth="1"/>
    <col min="5380" max="5633" width="14.6640625" style="438"/>
    <col min="5634" max="5634" width="47.6640625" style="438" customWidth="1"/>
    <col min="5635" max="5635" width="43.83203125" style="438" customWidth="1"/>
    <col min="5636" max="5889" width="14.6640625" style="438"/>
    <col min="5890" max="5890" width="47.6640625" style="438" customWidth="1"/>
    <col min="5891" max="5891" width="43.83203125" style="438" customWidth="1"/>
    <col min="5892" max="6145" width="14.6640625" style="438"/>
    <col min="6146" max="6146" width="47.6640625" style="438" customWidth="1"/>
    <col min="6147" max="6147" width="43.83203125" style="438" customWidth="1"/>
    <col min="6148" max="6401" width="14.6640625" style="438"/>
    <col min="6402" max="6402" width="47.6640625" style="438" customWidth="1"/>
    <col min="6403" max="6403" width="43.83203125" style="438" customWidth="1"/>
    <col min="6404" max="6657" width="14.6640625" style="438"/>
    <col min="6658" max="6658" width="47.6640625" style="438" customWidth="1"/>
    <col min="6659" max="6659" width="43.83203125" style="438" customWidth="1"/>
    <col min="6660" max="6913" width="14.6640625" style="438"/>
    <col min="6914" max="6914" width="47.6640625" style="438" customWidth="1"/>
    <col min="6915" max="6915" width="43.83203125" style="438" customWidth="1"/>
    <col min="6916" max="7169" width="14.6640625" style="438"/>
    <col min="7170" max="7170" width="47.6640625" style="438" customWidth="1"/>
    <col min="7171" max="7171" width="43.83203125" style="438" customWidth="1"/>
    <col min="7172" max="7425" width="14.6640625" style="438"/>
    <col min="7426" max="7426" width="47.6640625" style="438" customWidth="1"/>
    <col min="7427" max="7427" width="43.83203125" style="438" customWidth="1"/>
    <col min="7428" max="7681" width="14.6640625" style="438"/>
    <col min="7682" max="7682" width="47.6640625" style="438" customWidth="1"/>
    <col min="7683" max="7683" width="43.83203125" style="438" customWidth="1"/>
    <col min="7684" max="7937" width="14.6640625" style="438"/>
    <col min="7938" max="7938" width="47.6640625" style="438" customWidth="1"/>
    <col min="7939" max="7939" width="43.83203125" style="438" customWidth="1"/>
    <col min="7940" max="8193" width="14.6640625" style="438"/>
    <col min="8194" max="8194" width="47.6640625" style="438" customWidth="1"/>
    <col min="8195" max="8195" width="43.83203125" style="438" customWidth="1"/>
    <col min="8196" max="8449" width="14.6640625" style="438"/>
    <col min="8450" max="8450" width="47.6640625" style="438" customWidth="1"/>
    <col min="8451" max="8451" width="43.83203125" style="438" customWidth="1"/>
    <col min="8452" max="8705" width="14.6640625" style="438"/>
    <col min="8706" max="8706" width="47.6640625" style="438" customWidth="1"/>
    <col min="8707" max="8707" width="43.83203125" style="438" customWidth="1"/>
    <col min="8708" max="8961" width="14.6640625" style="438"/>
    <col min="8962" max="8962" width="47.6640625" style="438" customWidth="1"/>
    <col min="8963" max="8963" width="43.83203125" style="438" customWidth="1"/>
    <col min="8964" max="9217" width="14.6640625" style="438"/>
    <col min="9218" max="9218" width="47.6640625" style="438" customWidth="1"/>
    <col min="9219" max="9219" width="43.83203125" style="438" customWidth="1"/>
    <col min="9220" max="9473" width="14.6640625" style="438"/>
    <col min="9474" max="9474" width="47.6640625" style="438" customWidth="1"/>
    <col min="9475" max="9475" width="43.83203125" style="438" customWidth="1"/>
    <col min="9476" max="9729" width="14.6640625" style="438"/>
    <col min="9730" max="9730" width="47.6640625" style="438" customWidth="1"/>
    <col min="9731" max="9731" width="43.83203125" style="438" customWidth="1"/>
    <col min="9732" max="9985" width="14.6640625" style="438"/>
    <col min="9986" max="9986" width="47.6640625" style="438" customWidth="1"/>
    <col min="9987" max="9987" width="43.83203125" style="438" customWidth="1"/>
    <col min="9988" max="10241" width="14.6640625" style="438"/>
    <col min="10242" max="10242" width="47.6640625" style="438" customWidth="1"/>
    <col min="10243" max="10243" width="43.83203125" style="438" customWidth="1"/>
    <col min="10244" max="10497" width="14.6640625" style="438"/>
    <col min="10498" max="10498" width="47.6640625" style="438" customWidth="1"/>
    <col min="10499" max="10499" width="43.83203125" style="438" customWidth="1"/>
    <col min="10500" max="10753" width="14.6640625" style="438"/>
    <col min="10754" max="10754" width="47.6640625" style="438" customWidth="1"/>
    <col min="10755" max="10755" width="43.83203125" style="438" customWidth="1"/>
    <col min="10756" max="11009" width="14.6640625" style="438"/>
    <col min="11010" max="11010" width="47.6640625" style="438" customWidth="1"/>
    <col min="11011" max="11011" width="43.83203125" style="438" customWidth="1"/>
    <col min="11012" max="11265" width="14.6640625" style="438"/>
    <col min="11266" max="11266" width="47.6640625" style="438" customWidth="1"/>
    <col min="11267" max="11267" width="43.83203125" style="438" customWidth="1"/>
    <col min="11268" max="11521" width="14.6640625" style="438"/>
    <col min="11522" max="11522" width="47.6640625" style="438" customWidth="1"/>
    <col min="11523" max="11523" width="43.83203125" style="438" customWidth="1"/>
    <col min="11524" max="11777" width="14.6640625" style="438"/>
    <col min="11778" max="11778" width="47.6640625" style="438" customWidth="1"/>
    <col min="11779" max="11779" width="43.83203125" style="438" customWidth="1"/>
    <col min="11780" max="12033" width="14.6640625" style="438"/>
    <col min="12034" max="12034" width="47.6640625" style="438" customWidth="1"/>
    <col min="12035" max="12035" width="43.83203125" style="438" customWidth="1"/>
    <col min="12036" max="12289" width="14.6640625" style="438"/>
    <col min="12290" max="12290" width="47.6640625" style="438" customWidth="1"/>
    <col min="12291" max="12291" width="43.83203125" style="438" customWidth="1"/>
    <col min="12292" max="12545" width="14.6640625" style="438"/>
    <col min="12546" max="12546" width="47.6640625" style="438" customWidth="1"/>
    <col min="12547" max="12547" width="43.83203125" style="438" customWidth="1"/>
    <col min="12548" max="12801" width="14.6640625" style="438"/>
    <col min="12802" max="12802" width="47.6640625" style="438" customWidth="1"/>
    <col min="12803" max="12803" width="43.83203125" style="438" customWidth="1"/>
    <col min="12804" max="13057" width="14.6640625" style="438"/>
    <col min="13058" max="13058" width="47.6640625" style="438" customWidth="1"/>
    <col min="13059" max="13059" width="43.83203125" style="438" customWidth="1"/>
    <col min="13060" max="13313" width="14.6640625" style="438"/>
    <col min="13314" max="13314" width="47.6640625" style="438" customWidth="1"/>
    <col min="13315" max="13315" width="43.83203125" style="438" customWidth="1"/>
    <col min="13316" max="13569" width="14.6640625" style="438"/>
    <col min="13570" max="13570" width="47.6640625" style="438" customWidth="1"/>
    <col min="13571" max="13571" width="43.83203125" style="438" customWidth="1"/>
    <col min="13572" max="13825" width="14.6640625" style="438"/>
    <col min="13826" max="13826" width="47.6640625" style="438" customWidth="1"/>
    <col min="13827" max="13827" width="43.83203125" style="438" customWidth="1"/>
    <col min="13828" max="14081" width="14.6640625" style="438"/>
    <col min="14082" max="14082" width="47.6640625" style="438" customWidth="1"/>
    <col min="14083" max="14083" width="43.83203125" style="438" customWidth="1"/>
    <col min="14084" max="14337" width="14.6640625" style="438"/>
    <col min="14338" max="14338" width="47.6640625" style="438" customWidth="1"/>
    <col min="14339" max="14339" width="43.83203125" style="438" customWidth="1"/>
    <col min="14340" max="14593" width="14.6640625" style="438"/>
    <col min="14594" max="14594" width="47.6640625" style="438" customWidth="1"/>
    <col min="14595" max="14595" width="43.83203125" style="438" customWidth="1"/>
    <col min="14596" max="14849" width="14.6640625" style="438"/>
    <col min="14850" max="14850" width="47.6640625" style="438" customWidth="1"/>
    <col min="14851" max="14851" width="43.83203125" style="438" customWidth="1"/>
    <col min="14852" max="15105" width="14.6640625" style="438"/>
    <col min="15106" max="15106" width="47.6640625" style="438" customWidth="1"/>
    <col min="15107" max="15107" width="43.83203125" style="438" customWidth="1"/>
    <col min="15108" max="15361" width="14.6640625" style="438"/>
    <col min="15362" max="15362" width="47.6640625" style="438" customWidth="1"/>
    <col min="15363" max="15363" width="43.83203125" style="438" customWidth="1"/>
    <col min="15364" max="15617" width="14.6640625" style="438"/>
    <col min="15618" max="15618" width="47.6640625" style="438" customWidth="1"/>
    <col min="15619" max="15619" width="43.83203125" style="438" customWidth="1"/>
    <col min="15620" max="15873" width="14.6640625" style="438"/>
    <col min="15874" max="15874" width="47.6640625" style="438" customWidth="1"/>
    <col min="15875" max="15875" width="43.83203125" style="438" customWidth="1"/>
    <col min="15876" max="16129" width="14.6640625" style="438"/>
    <col min="16130" max="16130" width="47.6640625" style="438" customWidth="1"/>
    <col min="16131" max="16131" width="43.83203125" style="438" customWidth="1"/>
    <col min="16132" max="16384" width="14.6640625" style="438"/>
  </cols>
  <sheetData>
    <row r="1" spans="1:7" ht="39.6" customHeight="1" thickBot="1" x14ac:dyDescent="0.25">
      <c r="A1" s="816" t="s">
        <v>952</v>
      </c>
      <c r="B1" s="812"/>
      <c r="C1" s="813"/>
      <c r="D1" s="437"/>
      <c r="E1" s="442"/>
    </row>
    <row r="2" spans="1:7" ht="20.100000000000001" customHeight="1" x14ac:dyDescent="0.2">
      <c r="A2" s="817" t="s">
        <v>516</v>
      </c>
      <c r="B2" s="444" t="s">
        <v>953</v>
      </c>
      <c r="C2" s="445">
        <f>IF(B24&gt;3,3,B24)</f>
        <v>2</v>
      </c>
      <c r="D2" s="442"/>
      <c r="E2" s="446"/>
    </row>
    <row r="3" spans="1:7" ht="20.100000000000001" customHeight="1" x14ac:dyDescent="0.2">
      <c r="A3" s="818"/>
      <c r="B3" s="444" t="s">
        <v>954</v>
      </c>
      <c r="C3" s="445">
        <v>0.65</v>
      </c>
      <c r="D3" s="442"/>
      <c r="E3" s="442" t="s">
        <v>17</v>
      </c>
    </row>
    <row r="4" spans="1:7" ht="20.100000000000001" customHeight="1" x14ac:dyDescent="0.2">
      <c r="A4" s="818"/>
      <c r="B4" s="444" t="s">
        <v>955</v>
      </c>
      <c r="C4" s="445">
        <v>3</v>
      </c>
      <c r="D4" s="442"/>
      <c r="E4" s="442"/>
    </row>
    <row r="5" spans="1:7" ht="20.100000000000001" customHeight="1" thickBot="1" x14ac:dyDescent="0.25">
      <c r="A5" s="818"/>
      <c r="B5" s="447" t="s">
        <v>956</v>
      </c>
      <c r="C5" s="448">
        <v>4.5</v>
      </c>
      <c r="D5" s="442"/>
      <c r="E5" s="442" t="s">
        <v>17</v>
      </c>
    </row>
    <row r="6" spans="1:7" ht="20.100000000000001" customHeight="1" thickBot="1" x14ac:dyDescent="0.25">
      <c r="A6" s="819"/>
      <c r="B6" s="449" t="s">
        <v>957</v>
      </c>
      <c r="C6" s="450">
        <f>SUM(C2:C5)</f>
        <v>10.15</v>
      </c>
      <c r="D6" s="442"/>
      <c r="E6" s="442"/>
      <c r="F6" s="451"/>
    </row>
    <row r="7" spans="1:7" ht="20.100000000000001" customHeight="1" x14ac:dyDescent="0.2">
      <c r="A7" s="452" t="s">
        <v>958</v>
      </c>
      <c r="B7" s="453" t="s">
        <v>959</v>
      </c>
      <c r="C7" s="454" t="s">
        <v>960</v>
      </c>
      <c r="D7" s="442"/>
      <c r="E7" s="442"/>
      <c r="G7" s="455"/>
    </row>
    <row r="8" spans="1:7" ht="20.100000000000001" customHeight="1" x14ac:dyDescent="0.2">
      <c r="A8" s="452" t="s">
        <v>945</v>
      </c>
      <c r="B8" s="456">
        <v>4.01</v>
      </c>
      <c r="C8" s="457">
        <v>3.45</v>
      </c>
      <c r="D8" s="442"/>
      <c r="E8" s="458"/>
    </row>
    <row r="9" spans="1:7" ht="20.100000000000001" customHeight="1" x14ac:dyDescent="0.2">
      <c r="A9" s="459" t="s">
        <v>946</v>
      </c>
      <c r="B9" s="460">
        <v>0.56000000000000005</v>
      </c>
      <c r="C9" s="461">
        <v>0.85</v>
      </c>
      <c r="D9" s="442"/>
      <c r="E9" s="458"/>
    </row>
    <row r="10" spans="1:7" ht="20.100000000000001" customHeight="1" x14ac:dyDescent="0.2">
      <c r="A10" s="459" t="s">
        <v>947</v>
      </c>
      <c r="B10" s="460">
        <v>0.4</v>
      </c>
      <c r="C10" s="461">
        <v>0.48</v>
      </c>
      <c r="D10" s="442"/>
      <c r="E10" s="458"/>
    </row>
    <row r="11" spans="1:7" ht="20.100000000000001" customHeight="1" x14ac:dyDescent="0.2">
      <c r="A11" s="459" t="s">
        <v>948</v>
      </c>
      <c r="B11" s="460">
        <v>1.1100000000000001</v>
      </c>
      <c r="C11" s="461">
        <v>0.85</v>
      </c>
      <c r="D11" s="442"/>
      <c r="E11" s="458"/>
    </row>
    <row r="12" spans="1:7" ht="20.100000000000001" customHeight="1" thickBot="1" x14ac:dyDescent="0.25">
      <c r="A12" s="462" t="s">
        <v>518</v>
      </c>
      <c r="B12" s="463">
        <v>7.3</v>
      </c>
      <c r="C12" s="464">
        <v>5.1100000000000003</v>
      </c>
      <c r="D12" s="442"/>
      <c r="E12" s="458"/>
    </row>
    <row r="13" spans="1:7" ht="20.100000000000001" customHeight="1" thickBot="1" x14ac:dyDescent="0.25">
      <c r="A13" s="465" t="s">
        <v>961</v>
      </c>
      <c r="B13" s="466">
        <f>(((((1+(B8+B9+B10)/100)*(1+B11/100)*(1+B12/100))/(1-C6/100))-1)*100)</f>
        <v>26.747951242070165</v>
      </c>
      <c r="C13" s="450">
        <f>(((((1+(C8+C9+C10)/100)*(1+C11/100)*(1+C12/100))/(1-(C3+C4+C5)/100))-1)*100)</f>
        <v>20.925856497550342</v>
      </c>
      <c r="D13" s="467"/>
      <c r="E13" s="442"/>
    </row>
    <row r="14" spans="1:7" ht="20.100000000000001" customHeight="1" thickBot="1" x14ac:dyDescent="0.25">
      <c r="A14" s="820" t="s">
        <v>962</v>
      </c>
      <c r="B14" s="821"/>
      <c r="C14" s="822"/>
      <c r="D14" s="467"/>
      <c r="E14" s="442"/>
    </row>
    <row r="15" spans="1:7" ht="20.100000000000001" customHeight="1" thickBot="1" x14ac:dyDescent="0.25">
      <c r="A15" s="468" t="s">
        <v>963</v>
      </c>
      <c r="B15" s="469">
        <f>IF(D15="X",0,ROUND(B13,2)/100)</f>
        <v>0.26750000000000002</v>
      </c>
      <c r="C15" s="470"/>
      <c r="D15" s="471"/>
      <c r="E15" s="472"/>
      <c r="F15" s="443" t="s">
        <v>780</v>
      </c>
    </row>
    <row r="16" spans="1:7" ht="9.9499999999999993" customHeight="1" thickBot="1" x14ac:dyDescent="0.25">
      <c r="A16" s="473"/>
      <c r="B16" s="473"/>
      <c r="C16" s="473"/>
      <c r="D16" s="467"/>
      <c r="E16" s="442"/>
    </row>
    <row r="17" spans="1:13" ht="18.75" thickBot="1" x14ac:dyDescent="0.25">
      <c r="A17" s="468" t="s">
        <v>964</v>
      </c>
      <c r="B17" s="469">
        <f>IF(D15="X",0,ROUND(C13,2)/100)</f>
        <v>0.20929999999999999</v>
      </c>
      <c r="C17" s="470"/>
      <c r="D17" s="442"/>
      <c r="E17" s="472"/>
      <c r="F17" s="474"/>
      <c r="G17" s="474"/>
      <c r="H17" s="474"/>
      <c r="I17" s="475"/>
      <c r="J17" s="475"/>
      <c r="K17" s="475"/>
      <c r="L17" s="475"/>
      <c r="M17" s="475"/>
    </row>
    <row r="18" spans="1:13" ht="6.6" customHeight="1" x14ac:dyDescent="0.2">
      <c r="A18" s="476"/>
      <c r="B18" s="476"/>
      <c r="C18" s="476"/>
      <c r="D18" s="442"/>
      <c r="E18" s="442"/>
    </row>
    <row r="19" spans="1:13" x14ac:dyDescent="0.2">
      <c r="A19" s="477"/>
      <c r="B19" s="477"/>
      <c r="C19" s="477"/>
      <c r="D19" s="442"/>
      <c r="E19" s="442"/>
    </row>
    <row r="20" spans="1:13" ht="16.5" thickBot="1" x14ac:dyDescent="0.25">
      <c r="A20" s="478"/>
      <c r="B20" s="479" t="s">
        <v>949</v>
      </c>
      <c r="C20" s="477"/>
      <c r="D20" s="442"/>
      <c r="E20" s="442"/>
    </row>
    <row r="21" spans="1:13" ht="18.75" thickBot="1" x14ac:dyDescent="0.25">
      <c r="A21" s="480" t="s">
        <v>761</v>
      </c>
      <c r="B21" s="481">
        <v>4</v>
      </c>
      <c r="C21" s="482" t="s">
        <v>756</v>
      </c>
      <c r="D21" s="442"/>
      <c r="E21" s="446"/>
    </row>
    <row r="22" spans="1:13" ht="18.75" thickBot="1" x14ac:dyDescent="0.25">
      <c r="A22" s="480" t="s">
        <v>762</v>
      </c>
      <c r="B22" s="481">
        <v>50</v>
      </c>
      <c r="C22" s="482" t="s">
        <v>756</v>
      </c>
      <c r="D22" s="442"/>
      <c r="E22" s="446"/>
    </row>
    <row r="23" spans="1:13" ht="18" x14ac:dyDescent="0.2">
      <c r="A23" s="480" t="s">
        <v>950</v>
      </c>
      <c r="B23" s="515" t="s">
        <v>774</v>
      </c>
      <c r="C23" s="482" t="s">
        <v>756</v>
      </c>
      <c r="D23" s="442"/>
      <c r="E23" s="442"/>
    </row>
    <row r="24" spans="1:13" ht="18" x14ac:dyDescent="0.2">
      <c r="A24" s="480" t="s">
        <v>984</v>
      </c>
      <c r="B24" s="483">
        <f>IF(ROUND(B21*B22/100,4)&gt;3,3,ROUND(B21*B22/100,4))</f>
        <v>2</v>
      </c>
      <c r="C24" s="482" t="s">
        <v>756</v>
      </c>
      <c r="D24" s="442"/>
      <c r="E24" s="442"/>
    </row>
    <row r="25" spans="1:13" ht="13.5" thickBot="1" x14ac:dyDescent="0.25">
      <c r="A25" s="484"/>
      <c r="B25" s="485"/>
      <c r="C25" s="485"/>
      <c r="D25" s="442"/>
      <c r="E25" s="442"/>
    </row>
    <row r="26" spans="1:13" ht="13.5" thickBot="1" x14ac:dyDescent="0.25">
      <c r="A26" s="823" t="s">
        <v>965</v>
      </c>
      <c r="B26" s="824"/>
      <c r="C26" s="824"/>
      <c r="D26" s="825"/>
      <c r="E26" s="442"/>
    </row>
    <row r="27" spans="1:13" ht="13.5" thickBot="1" x14ac:dyDescent="0.25">
      <c r="A27" s="486" t="s">
        <v>966</v>
      </c>
      <c r="B27" s="487" t="s">
        <v>967</v>
      </c>
      <c r="C27" s="488" t="s">
        <v>968</v>
      </c>
      <c r="D27" s="489" t="s">
        <v>969</v>
      </c>
      <c r="E27" s="442"/>
    </row>
    <row r="28" spans="1:13" x14ac:dyDescent="0.2">
      <c r="A28" s="490" t="s">
        <v>970</v>
      </c>
      <c r="B28" s="491">
        <v>0.2034</v>
      </c>
      <c r="C28" s="492">
        <v>0.22120000000000001</v>
      </c>
      <c r="D28" s="493">
        <v>0.25</v>
      </c>
      <c r="E28" s="442"/>
    </row>
    <row r="29" spans="1:13" x14ac:dyDescent="0.2">
      <c r="A29" s="494" t="s">
        <v>971</v>
      </c>
      <c r="B29" s="495">
        <v>0.19600000000000001</v>
      </c>
      <c r="C29" s="496">
        <v>0.20949999999999999</v>
      </c>
      <c r="D29" s="497">
        <v>0.24229999999999999</v>
      </c>
      <c r="E29" s="442"/>
    </row>
    <row r="30" spans="1:13" ht="38.25" x14ac:dyDescent="0.2">
      <c r="A30" s="494" t="s">
        <v>972</v>
      </c>
      <c r="B30" s="495">
        <v>0.20760000000000001</v>
      </c>
      <c r="C30" s="496">
        <v>0.24179999999999999</v>
      </c>
      <c r="D30" s="497">
        <v>0.26440000000000002</v>
      </c>
      <c r="E30" s="442"/>
    </row>
    <row r="31" spans="1:13" ht="25.5" x14ac:dyDescent="0.2">
      <c r="A31" s="494" t="s">
        <v>973</v>
      </c>
      <c r="B31" s="495">
        <v>0.24</v>
      </c>
      <c r="C31" s="496">
        <v>0.25840000000000002</v>
      </c>
      <c r="D31" s="497">
        <v>0.27860000000000001</v>
      </c>
      <c r="E31" s="442"/>
    </row>
    <row r="32" spans="1:13" ht="13.5" thickBot="1" x14ac:dyDescent="0.25">
      <c r="A32" s="498" t="s">
        <v>974</v>
      </c>
      <c r="B32" s="499">
        <v>0.22800000000000001</v>
      </c>
      <c r="C32" s="500">
        <v>0.27479999999999999</v>
      </c>
      <c r="D32" s="501">
        <v>0.3095</v>
      </c>
      <c r="E32" s="442"/>
    </row>
    <row r="33" spans="1:17" x14ac:dyDescent="0.2">
      <c r="A33" s="502"/>
      <c r="B33" s="485"/>
      <c r="C33" s="485"/>
      <c r="D33" s="442"/>
      <c r="E33" s="442"/>
    </row>
    <row r="34" spans="1:17" ht="13.5" thickBot="1" x14ac:dyDescent="0.25">
      <c r="A34" s="502"/>
      <c r="B34" s="485"/>
      <c r="C34" s="485"/>
      <c r="D34" s="442"/>
      <c r="E34" s="442"/>
    </row>
    <row r="35" spans="1:17" ht="13.5" thickBot="1" x14ac:dyDescent="0.25">
      <c r="A35" s="826" t="s">
        <v>975</v>
      </c>
      <c r="B35" s="487" t="s">
        <v>967</v>
      </c>
      <c r="C35" s="488" t="s">
        <v>968</v>
      </c>
      <c r="D35" s="489" t="s">
        <v>969</v>
      </c>
      <c r="E35" s="442"/>
    </row>
    <row r="36" spans="1:17" ht="13.5" thickBot="1" x14ac:dyDescent="0.25">
      <c r="A36" s="827"/>
      <c r="B36" s="503">
        <v>0.111</v>
      </c>
      <c r="C36" s="504">
        <v>0.14019999999999999</v>
      </c>
      <c r="D36" s="505">
        <v>0.16800000000000001</v>
      </c>
      <c r="E36" s="442"/>
    </row>
    <row r="37" spans="1:17" x14ac:dyDescent="0.2">
      <c r="A37" s="502"/>
      <c r="B37" s="485"/>
      <c r="C37" s="485"/>
      <c r="D37" s="442"/>
      <c r="E37" s="442"/>
    </row>
    <row r="38" spans="1:17" ht="13.5" thickBot="1" x14ac:dyDescent="0.25">
      <c r="A38" s="502"/>
      <c r="B38" s="485"/>
      <c r="C38" s="485"/>
      <c r="D38" s="442"/>
      <c r="E38" s="442"/>
      <c r="F38" s="442"/>
      <c r="G38" s="442"/>
      <c r="H38" s="442"/>
      <c r="I38" s="29"/>
      <c r="J38" s="29"/>
      <c r="K38" s="29"/>
      <c r="L38" s="29"/>
      <c r="M38" s="29"/>
      <c r="N38" s="29"/>
      <c r="O38" s="29"/>
      <c r="P38" s="29"/>
      <c r="Q38" s="29"/>
    </row>
    <row r="39" spans="1:17" ht="13.5" customHeight="1" thickBot="1" x14ac:dyDescent="0.25">
      <c r="A39" s="814" t="s">
        <v>966</v>
      </c>
      <c r="B39" s="807" t="s">
        <v>945</v>
      </c>
      <c r="C39" s="808"/>
      <c r="D39" s="809"/>
      <c r="E39" s="807" t="s">
        <v>976</v>
      </c>
      <c r="F39" s="808"/>
      <c r="G39" s="809"/>
      <c r="H39" s="807" t="s">
        <v>977</v>
      </c>
      <c r="I39" s="808"/>
      <c r="J39" s="809"/>
      <c r="K39" s="807" t="s">
        <v>978</v>
      </c>
      <c r="L39" s="810"/>
      <c r="M39" s="811"/>
      <c r="N39" s="807" t="s">
        <v>518</v>
      </c>
      <c r="O39" s="810"/>
      <c r="P39" s="811"/>
      <c r="Q39" s="29"/>
    </row>
    <row r="40" spans="1:17" ht="13.5" thickBot="1" x14ac:dyDescent="0.25">
      <c r="A40" s="815"/>
      <c r="B40" s="487" t="s">
        <v>967</v>
      </c>
      <c r="C40" s="488" t="s">
        <v>968</v>
      </c>
      <c r="D40" s="489" t="s">
        <v>969</v>
      </c>
      <c r="E40" s="487" t="s">
        <v>967</v>
      </c>
      <c r="F40" s="488" t="s">
        <v>968</v>
      </c>
      <c r="G40" s="489" t="s">
        <v>969</v>
      </c>
      <c r="H40" s="487" t="s">
        <v>967</v>
      </c>
      <c r="I40" s="488" t="s">
        <v>968</v>
      </c>
      <c r="J40" s="489" t="s">
        <v>969</v>
      </c>
      <c r="K40" s="487" t="s">
        <v>967</v>
      </c>
      <c r="L40" s="488" t="s">
        <v>968</v>
      </c>
      <c r="M40" s="489" t="s">
        <v>969</v>
      </c>
      <c r="N40" s="487" t="s">
        <v>967</v>
      </c>
      <c r="O40" s="488" t="s">
        <v>968</v>
      </c>
      <c r="P40" s="489" t="s">
        <v>969</v>
      </c>
      <c r="Q40" s="29"/>
    </row>
    <row r="41" spans="1:17" x14ac:dyDescent="0.2">
      <c r="A41" s="490" t="s">
        <v>970</v>
      </c>
      <c r="B41" s="491">
        <v>0.03</v>
      </c>
      <c r="C41" s="492">
        <v>0.04</v>
      </c>
      <c r="D41" s="493">
        <v>5.5E-2</v>
      </c>
      <c r="E41" s="491">
        <v>9.7000000000000003E-3</v>
      </c>
      <c r="F41" s="492">
        <v>1.2699999999999999E-2</v>
      </c>
      <c r="G41" s="493">
        <v>1.2699999999999999E-2</v>
      </c>
      <c r="H41" s="491">
        <v>8.0000000000000002E-3</v>
      </c>
      <c r="I41" s="492">
        <v>8.0000000000000002E-3</v>
      </c>
      <c r="J41" s="493">
        <v>0.01</v>
      </c>
      <c r="K41" s="491">
        <v>5.8999999999999999E-3</v>
      </c>
      <c r="L41" s="492">
        <v>1.23E-2</v>
      </c>
      <c r="M41" s="493">
        <v>1.3899999999999999E-2</v>
      </c>
      <c r="N41" s="491">
        <v>6.1600000000000002E-2</v>
      </c>
      <c r="O41" s="492">
        <v>7.3999999999999996E-2</v>
      </c>
      <c r="P41" s="493">
        <v>8.9599999999999999E-2</v>
      </c>
      <c r="Q41" s="29"/>
    </row>
    <row r="42" spans="1:17" x14ac:dyDescent="0.2">
      <c r="A42" s="494" t="s">
        <v>971</v>
      </c>
      <c r="B42" s="495">
        <v>3.7999999999999999E-2</v>
      </c>
      <c r="C42" s="496">
        <v>4.0099999999999997E-2</v>
      </c>
      <c r="D42" s="497">
        <v>4.6699999999999998E-2</v>
      </c>
      <c r="E42" s="495">
        <v>5.0000000000000001E-3</v>
      </c>
      <c r="F42" s="496">
        <v>5.5999999999999999E-3</v>
      </c>
      <c r="G42" s="497">
        <v>9.7000000000000003E-3</v>
      </c>
      <c r="H42" s="495">
        <v>3.2000000000000002E-3</v>
      </c>
      <c r="I42" s="496">
        <v>4.0000000000000001E-3</v>
      </c>
      <c r="J42" s="497">
        <v>7.4000000000000003E-3</v>
      </c>
      <c r="K42" s="495">
        <v>1.0200000000000001E-2</v>
      </c>
      <c r="L42" s="496">
        <v>1.11E-2</v>
      </c>
      <c r="M42" s="497">
        <v>1.21E-2</v>
      </c>
      <c r="N42" s="495">
        <v>6.6400000000000001E-2</v>
      </c>
      <c r="O42" s="496">
        <v>7.2999999999999995E-2</v>
      </c>
      <c r="P42" s="497">
        <v>8.6900000000000005E-2</v>
      </c>
      <c r="Q42" s="29"/>
    </row>
    <row r="43" spans="1:17" ht="38.25" x14ac:dyDescent="0.2">
      <c r="A43" s="494" t="s">
        <v>972</v>
      </c>
      <c r="B43" s="495">
        <v>3.4299999999999997E-2</v>
      </c>
      <c r="C43" s="496">
        <v>4.9299999999999997E-2</v>
      </c>
      <c r="D43" s="497">
        <v>6.7100000000000007E-2</v>
      </c>
      <c r="E43" s="495">
        <v>0.01</v>
      </c>
      <c r="F43" s="496">
        <v>1.3899999999999999E-2</v>
      </c>
      <c r="G43" s="497">
        <v>1.7399999999999999E-2</v>
      </c>
      <c r="H43" s="495">
        <v>2.8E-3</v>
      </c>
      <c r="I43" s="496">
        <v>4.8999999999999998E-3</v>
      </c>
      <c r="J43" s="497">
        <v>7.4999999999999997E-3</v>
      </c>
      <c r="K43" s="495">
        <v>9.4000000000000004E-3</v>
      </c>
      <c r="L43" s="496">
        <v>9.9000000000000008E-3</v>
      </c>
      <c r="M43" s="497">
        <v>1.17E-2</v>
      </c>
      <c r="N43" s="495">
        <v>6.7400000000000002E-2</v>
      </c>
      <c r="O43" s="496">
        <v>8.0399999999999999E-2</v>
      </c>
      <c r="P43" s="497">
        <v>9.4E-2</v>
      </c>
      <c r="Q43" s="29"/>
    </row>
    <row r="44" spans="1:17" ht="25.5" x14ac:dyDescent="0.2">
      <c r="A44" s="494" t="s">
        <v>973</v>
      </c>
      <c r="B44" s="495">
        <v>5.2900000000000003E-2</v>
      </c>
      <c r="C44" s="496">
        <v>5.9200000000000003E-2</v>
      </c>
      <c r="D44" s="497">
        <v>7.9299999999999995E-2</v>
      </c>
      <c r="E44" s="495">
        <v>0.01</v>
      </c>
      <c r="F44" s="496">
        <v>1.4800000000000001E-2</v>
      </c>
      <c r="G44" s="497">
        <v>1.9699999999999999E-2</v>
      </c>
      <c r="H44" s="495">
        <v>2.5000000000000001E-3</v>
      </c>
      <c r="I44" s="496">
        <v>5.1000000000000004E-3</v>
      </c>
      <c r="J44" s="497">
        <v>5.5999999999999999E-3</v>
      </c>
      <c r="K44" s="495">
        <v>1.01E-2</v>
      </c>
      <c r="L44" s="496">
        <v>1.0699999999999999E-2</v>
      </c>
      <c r="M44" s="497">
        <v>1.11E-2</v>
      </c>
      <c r="N44" s="495">
        <v>0.08</v>
      </c>
      <c r="O44" s="496">
        <v>8.3099999999999993E-2</v>
      </c>
      <c r="P44" s="497">
        <v>9.5100000000000004E-2</v>
      </c>
      <c r="Q44" s="29"/>
    </row>
    <row r="45" spans="1:17" ht="13.5" thickBot="1" x14ac:dyDescent="0.25">
      <c r="A45" s="498" t="s">
        <v>974</v>
      </c>
      <c r="B45" s="499">
        <v>0.04</v>
      </c>
      <c r="C45" s="500">
        <v>5.5199999999999999E-2</v>
      </c>
      <c r="D45" s="501">
        <v>7.85E-2</v>
      </c>
      <c r="E45" s="499">
        <v>1.46E-2</v>
      </c>
      <c r="F45" s="500">
        <v>2.3199999999999998E-2</v>
      </c>
      <c r="G45" s="501">
        <v>3.1600000000000003E-2</v>
      </c>
      <c r="H45" s="499">
        <v>8.0999999999999996E-3</v>
      </c>
      <c r="I45" s="500">
        <v>1.2200000000000001E-2</v>
      </c>
      <c r="J45" s="501">
        <v>1.9900000000000001E-2</v>
      </c>
      <c r="K45" s="499">
        <v>9.4000000000000004E-3</v>
      </c>
      <c r="L45" s="500">
        <v>1.0200000000000001E-2</v>
      </c>
      <c r="M45" s="501">
        <v>1.3299999999999999E-2</v>
      </c>
      <c r="N45" s="499">
        <v>7.1400000000000005E-2</v>
      </c>
      <c r="O45" s="500">
        <v>8.4000000000000005E-2</v>
      </c>
      <c r="P45" s="501">
        <v>0.1043</v>
      </c>
      <c r="Q45" s="29"/>
    </row>
    <row r="46" spans="1:17" x14ac:dyDescent="0.2">
      <c r="A46" s="485"/>
      <c r="B46" s="485"/>
      <c r="C46" s="485"/>
      <c r="D46" s="442"/>
      <c r="E46" s="442"/>
    </row>
    <row r="47" spans="1:17" ht="13.5" thickBot="1" x14ac:dyDescent="0.25">
      <c r="A47" s="485"/>
      <c r="B47" s="485"/>
      <c r="C47" s="485"/>
      <c r="D47" s="442"/>
      <c r="E47" s="442"/>
    </row>
    <row r="48" spans="1:17" ht="13.5" thickBot="1" x14ac:dyDescent="0.25">
      <c r="A48" s="807" t="s">
        <v>979</v>
      </c>
      <c r="B48" s="812"/>
      <c r="C48" s="812"/>
      <c r="D48" s="813"/>
      <c r="E48" s="442"/>
      <c r="H48" s="438"/>
    </row>
    <row r="49" spans="1:16" ht="13.5" thickBot="1" x14ac:dyDescent="0.25">
      <c r="A49" s="506" t="s">
        <v>980</v>
      </c>
      <c r="B49" s="507" t="s">
        <v>967</v>
      </c>
      <c r="C49" s="508" t="s">
        <v>968</v>
      </c>
      <c r="D49" s="509" t="s">
        <v>969</v>
      </c>
      <c r="E49" s="442"/>
      <c r="H49" s="438"/>
    </row>
    <row r="50" spans="1:16" x14ac:dyDescent="0.2">
      <c r="A50" s="490" t="s">
        <v>945</v>
      </c>
      <c r="B50" s="491">
        <v>1.4999999999999999E-2</v>
      </c>
      <c r="C50" s="492">
        <v>3.4500000000000003E-2</v>
      </c>
      <c r="D50" s="493">
        <v>4.4900000000000002E-2</v>
      </c>
      <c r="E50" s="442"/>
      <c r="H50" s="438"/>
    </row>
    <row r="51" spans="1:16" x14ac:dyDescent="0.2">
      <c r="A51" s="494" t="s">
        <v>977</v>
      </c>
      <c r="B51" s="495">
        <v>3.0000000000000001E-3</v>
      </c>
      <c r="C51" s="496">
        <v>4.7999999999999996E-3</v>
      </c>
      <c r="D51" s="497">
        <v>8.2000000000000007E-3</v>
      </c>
      <c r="E51" s="442"/>
      <c r="H51" s="438"/>
    </row>
    <row r="52" spans="1:16" x14ac:dyDescent="0.2">
      <c r="A52" s="494" t="s">
        <v>976</v>
      </c>
      <c r="B52" s="495">
        <v>5.5999999999999999E-3</v>
      </c>
      <c r="C52" s="496">
        <v>8.5000000000000006E-3</v>
      </c>
      <c r="D52" s="497">
        <v>8.8999999999999999E-3</v>
      </c>
      <c r="E52" s="442"/>
      <c r="H52" s="438"/>
    </row>
    <row r="53" spans="1:16" x14ac:dyDescent="0.2">
      <c r="A53" s="494" t="s">
        <v>978</v>
      </c>
      <c r="B53" s="495">
        <v>8.5000000000000006E-3</v>
      </c>
      <c r="C53" s="496">
        <v>8.5000000000000006E-3</v>
      </c>
      <c r="D53" s="497">
        <v>1.11E-2</v>
      </c>
      <c r="E53" s="442"/>
      <c r="H53" s="438"/>
    </row>
    <row r="54" spans="1:16" ht="13.5" thickBot="1" x14ac:dyDescent="0.25">
      <c r="A54" s="498" t="s">
        <v>518</v>
      </c>
      <c r="B54" s="499">
        <v>3.5000000000000003E-2</v>
      </c>
      <c r="C54" s="500">
        <v>5.11E-2</v>
      </c>
      <c r="D54" s="501">
        <v>6.2199999999999998E-2</v>
      </c>
      <c r="E54" s="442"/>
      <c r="H54" s="438"/>
    </row>
    <row r="55" spans="1:16" x14ac:dyDescent="0.2">
      <c r="A55" s="485"/>
      <c r="B55" s="485"/>
      <c r="C55" s="510"/>
      <c r="D55" s="442"/>
      <c r="E55" s="511"/>
    </row>
    <row r="56" spans="1:16" ht="13.5" thickBot="1" x14ac:dyDescent="0.25">
      <c r="A56" s="485"/>
      <c r="B56" s="485"/>
      <c r="C56" s="485"/>
      <c r="D56" s="442"/>
      <c r="E56" s="442"/>
    </row>
    <row r="57" spans="1:16" ht="13.5" thickBot="1" x14ac:dyDescent="0.25">
      <c r="A57" s="807" t="s">
        <v>981</v>
      </c>
      <c r="B57" s="812"/>
      <c r="C57" s="812"/>
      <c r="D57" s="813"/>
      <c r="E57" s="442"/>
    </row>
    <row r="58" spans="1:16" ht="13.5" thickBot="1" x14ac:dyDescent="0.25">
      <c r="A58" s="512" t="s">
        <v>966</v>
      </c>
      <c r="B58" s="487" t="s">
        <v>967</v>
      </c>
      <c r="C58" s="488" t="s">
        <v>968</v>
      </c>
      <c r="D58" s="489" t="s">
        <v>969</v>
      </c>
      <c r="E58" s="442"/>
    </row>
    <row r="59" spans="1:16" x14ac:dyDescent="0.2">
      <c r="A59" s="490" t="s">
        <v>970</v>
      </c>
      <c r="B59" s="491">
        <v>3.49E-2</v>
      </c>
      <c r="C59" s="492">
        <v>6.2300000000000001E-2</v>
      </c>
      <c r="D59" s="493">
        <v>8.8700000000000001E-2</v>
      </c>
      <c r="E59" s="442"/>
    </row>
    <row r="60" spans="1:16" x14ac:dyDescent="0.2">
      <c r="A60" s="494" t="s">
        <v>971</v>
      </c>
      <c r="B60" s="495">
        <v>1.9800000000000002E-2</v>
      </c>
      <c r="C60" s="496">
        <v>6.9900000000000004E-2</v>
      </c>
      <c r="D60" s="497">
        <v>0.10680000000000001</v>
      </c>
      <c r="E60" s="442"/>
    </row>
    <row r="61" spans="1:16" ht="38.25" x14ac:dyDescent="0.2">
      <c r="A61" s="494" t="s">
        <v>972</v>
      </c>
      <c r="B61" s="495">
        <v>4.1300000000000003E-2</v>
      </c>
      <c r="C61" s="496">
        <v>7.6399999999999996E-2</v>
      </c>
      <c r="D61" s="497">
        <v>0.1089</v>
      </c>
      <c r="E61" s="442"/>
    </row>
    <row r="62" spans="1:16" s="443" customFormat="1" ht="25.5" x14ac:dyDescent="0.2">
      <c r="A62" s="494" t="s">
        <v>973</v>
      </c>
      <c r="B62" s="495">
        <v>1.8499999999999999E-2</v>
      </c>
      <c r="C62" s="496">
        <v>5.0500000000000003E-2</v>
      </c>
      <c r="D62" s="497">
        <v>7.4499999999999997E-2</v>
      </c>
      <c r="E62" s="442"/>
      <c r="I62" s="438"/>
      <c r="J62" s="438"/>
      <c r="K62" s="438"/>
      <c r="L62" s="438"/>
      <c r="M62" s="438"/>
      <c r="N62" s="438"/>
      <c r="O62" s="438"/>
      <c r="P62" s="438"/>
    </row>
    <row r="63" spans="1:16" s="443" customFormat="1" ht="13.5" thickBot="1" x14ac:dyDescent="0.25">
      <c r="A63" s="498" t="s">
        <v>974</v>
      </c>
      <c r="B63" s="499">
        <v>6.2300000000000001E-2</v>
      </c>
      <c r="C63" s="500">
        <v>7.4800000000000005E-2</v>
      </c>
      <c r="D63" s="501">
        <v>9.0899999999999995E-2</v>
      </c>
      <c r="E63" s="442"/>
      <c r="I63" s="438"/>
      <c r="J63" s="438"/>
      <c r="K63" s="438"/>
      <c r="L63" s="438"/>
      <c r="M63" s="438"/>
      <c r="N63" s="438"/>
      <c r="O63" s="438"/>
      <c r="P63" s="438"/>
    </row>
    <row r="64" spans="1:16" x14ac:dyDescent="0.2">
      <c r="A64" s="485"/>
      <c r="B64" s="485"/>
      <c r="C64" s="485"/>
      <c r="D64" s="442"/>
      <c r="E64" s="442"/>
    </row>
    <row r="65" spans="1:16" s="443" customFormat="1" ht="40.5" customHeight="1" x14ac:dyDescent="0.2">
      <c r="A65" s="804" t="s">
        <v>982</v>
      </c>
      <c r="B65" s="805"/>
      <c r="C65" s="805"/>
      <c r="D65" s="806"/>
      <c r="E65" s="442"/>
      <c r="I65" s="438"/>
      <c r="J65" s="438"/>
      <c r="K65" s="438"/>
      <c r="L65" s="438"/>
      <c r="M65" s="438"/>
      <c r="N65" s="438"/>
      <c r="O65" s="438"/>
      <c r="P65" s="438"/>
    </row>
    <row r="66" spans="1:16" x14ac:dyDescent="0.2">
      <c r="A66" s="485"/>
      <c r="B66" s="485"/>
      <c r="C66" s="485"/>
      <c r="D66" s="442"/>
      <c r="E66" s="442"/>
    </row>
  </sheetData>
  <mergeCells count="14">
    <mergeCell ref="A1:C1"/>
    <mergeCell ref="A2:A6"/>
    <mergeCell ref="A14:C14"/>
    <mergeCell ref="A26:D26"/>
    <mergeCell ref="A35:A36"/>
    <mergeCell ref="A65:D65"/>
    <mergeCell ref="E39:G39"/>
    <mergeCell ref="H39:J39"/>
    <mergeCell ref="K39:M39"/>
    <mergeCell ref="N39:P39"/>
    <mergeCell ref="A48:D48"/>
    <mergeCell ref="A57:D57"/>
    <mergeCell ref="A39:A40"/>
    <mergeCell ref="B39:D39"/>
  </mergeCells>
  <pageMargins left="1.1811023622047245" right="0.78740157480314965" top="1.1811023622047245" bottom="1.1811023622047245" header="0.51181102362204722" footer="0.51181102362204722"/>
  <pageSetup paperSize="9" scale="92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20"/>
  <sheetViews>
    <sheetView showGridLines="0" showZeros="0" zoomScaleNormal="100" zoomScaleSheetLayoutView="100" workbookViewId="0">
      <selection activeCell="W1" sqref="W1"/>
    </sheetView>
  </sheetViews>
  <sheetFormatPr defaultColWidth="12" defaultRowHeight="12.75" x14ac:dyDescent="0.2"/>
  <cols>
    <col min="1" max="1" width="18.6640625" style="242" customWidth="1"/>
    <col min="2" max="2" width="58.5" style="242" customWidth="1"/>
    <col min="3" max="3" width="18.1640625" style="238" customWidth="1"/>
    <col min="4" max="4" width="15.6640625" style="238" customWidth="1"/>
    <col min="5" max="6" width="24.83203125" style="238" bestFit="1" customWidth="1"/>
    <col min="7" max="7" width="14.5" style="238" customWidth="1"/>
    <col min="8" max="16384" width="12" style="12"/>
  </cols>
  <sheetData>
    <row r="1" spans="1:7" s="10" customFormat="1" ht="25.15" customHeight="1" thickBot="1" x14ac:dyDescent="0.25">
      <c r="A1" s="36" t="s">
        <v>983</v>
      </c>
      <c r="B1" s="7"/>
      <c r="C1" s="8"/>
      <c r="D1" s="8"/>
      <c r="E1" s="8"/>
      <c r="F1" s="9"/>
      <c r="G1" s="206"/>
    </row>
    <row r="2" spans="1:7" s="10" customFormat="1" ht="13.9" customHeight="1" x14ac:dyDescent="0.2">
      <c r="A2" s="207" t="s">
        <v>183</v>
      </c>
      <c r="B2" s="208" t="s">
        <v>2102</v>
      </c>
      <c r="C2" s="209"/>
      <c r="D2" s="210"/>
      <c r="E2" s="211" t="s">
        <v>184</v>
      </c>
      <c r="F2" s="212"/>
      <c r="G2" s="206"/>
    </row>
    <row r="3" spans="1:7" s="10" customFormat="1" ht="13.9" customHeight="1" thickBot="1" x14ac:dyDescent="0.25">
      <c r="A3" s="213" t="s">
        <v>827</v>
      </c>
      <c r="B3" s="214" t="s">
        <v>2104</v>
      </c>
      <c r="C3" s="215"/>
      <c r="D3" s="215"/>
      <c r="E3" s="216" t="s">
        <v>185</v>
      </c>
      <c r="F3" s="217" t="s">
        <v>607</v>
      </c>
      <c r="G3" s="206"/>
    </row>
    <row r="4" spans="1:7" ht="26.25" thickBot="1" x14ac:dyDescent="0.25">
      <c r="A4" s="218"/>
      <c r="B4" s="219"/>
      <c r="C4" s="220"/>
      <c r="D4" s="220"/>
      <c r="E4" s="11"/>
      <c r="F4" s="4" t="s">
        <v>182</v>
      </c>
      <c r="G4" s="221" t="s">
        <v>929</v>
      </c>
    </row>
    <row r="5" spans="1:7" ht="13.5" hidden="1" thickBot="1" x14ac:dyDescent="0.25">
      <c r="A5" s="222">
        <v>1</v>
      </c>
      <c r="B5" s="223" t="s">
        <v>477</v>
      </c>
      <c r="C5" s="224"/>
      <c r="D5" s="224"/>
      <c r="E5" s="225"/>
      <c r="F5" s="226"/>
      <c r="G5" s="227">
        <f t="shared" ref="G5:G15" si="0">IF(F5=0,0,ROUND(F5/$F$17,4))</f>
        <v>0</v>
      </c>
    </row>
    <row r="6" spans="1:7" ht="13.5" thickBot="1" x14ac:dyDescent="0.25">
      <c r="A6" s="228" t="s">
        <v>607</v>
      </c>
      <c r="B6" s="229" t="s">
        <v>473</v>
      </c>
      <c r="C6" s="230"/>
      <c r="D6" s="230"/>
      <c r="E6" s="231"/>
      <c r="F6" s="226">
        <f>'orc SINAPI FEV 2022'!Q68</f>
        <v>12531.329999999998</v>
      </c>
      <c r="G6" s="227">
        <f t="shared" si="0"/>
        <v>4.5999999999999999E-2</v>
      </c>
    </row>
    <row r="7" spans="1:7" ht="13.5" thickBot="1" x14ac:dyDescent="0.25">
      <c r="A7" s="228" t="s">
        <v>190</v>
      </c>
      <c r="B7" s="229" t="s">
        <v>479</v>
      </c>
      <c r="C7" s="230"/>
      <c r="D7" s="230"/>
      <c r="E7" s="231"/>
      <c r="F7" s="226">
        <f>'orc SINAPI FEV 2022'!Q116</f>
        <v>98219.44</v>
      </c>
      <c r="G7" s="227">
        <f t="shared" si="0"/>
        <v>0.36049999999999999</v>
      </c>
    </row>
    <row r="8" spans="1:7" ht="13.5" thickBot="1" x14ac:dyDescent="0.25">
      <c r="A8" s="228" t="s">
        <v>208</v>
      </c>
      <c r="B8" s="232" t="s">
        <v>474</v>
      </c>
      <c r="C8" s="233"/>
      <c r="D8" s="233"/>
      <c r="E8" s="231"/>
      <c r="F8" s="226">
        <f>'orc SINAPI FEV 2022'!Q226</f>
        <v>49988.59</v>
      </c>
      <c r="G8" s="227">
        <f t="shared" si="0"/>
        <v>0.1835</v>
      </c>
    </row>
    <row r="9" spans="1:7" ht="13.5" thickBot="1" x14ac:dyDescent="0.25">
      <c r="A9" s="228" t="s">
        <v>226</v>
      </c>
      <c r="B9" s="229" t="s">
        <v>475</v>
      </c>
      <c r="C9" s="230"/>
      <c r="D9" s="230"/>
      <c r="E9" s="231"/>
      <c r="F9" s="226">
        <f>'orc SINAPI FEV 2022'!Q476</f>
        <v>11278.96</v>
      </c>
      <c r="G9" s="227">
        <f t="shared" si="0"/>
        <v>4.1399999999999999E-2</v>
      </c>
    </row>
    <row r="10" spans="1:7" ht="13.5" hidden="1" thickBot="1" x14ac:dyDescent="0.25">
      <c r="A10" s="228" t="s">
        <v>228</v>
      </c>
      <c r="B10" s="229" t="s">
        <v>810</v>
      </c>
      <c r="C10" s="230"/>
      <c r="D10" s="230"/>
      <c r="E10" s="231"/>
      <c r="F10" s="226"/>
      <c r="G10" s="227">
        <f t="shared" si="0"/>
        <v>0</v>
      </c>
    </row>
    <row r="11" spans="1:7" ht="13.5" thickBot="1" x14ac:dyDescent="0.25">
      <c r="A11" s="228" t="s">
        <v>189</v>
      </c>
      <c r="B11" s="234" t="s">
        <v>482</v>
      </c>
      <c r="C11" s="235"/>
      <c r="D11" s="235"/>
      <c r="E11" s="231"/>
      <c r="F11" s="226">
        <f>'orc SINAPI FEV 2022'!Q728</f>
        <v>3053.88</v>
      </c>
      <c r="G11" s="227">
        <f t="shared" si="0"/>
        <v>1.12E-2</v>
      </c>
    </row>
    <row r="12" spans="1:7" ht="13.5" hidden="1" thickBot="1" x14ac:dyDescent="0.25">
      <c r="A12" s="228" t="s">
        <v>323</v>
      </c>
      <c r="B12" s="234" t="s">
        <v>484</v>
      </c>
      <c r="C12" s="235"/>
      <c r="D12" s="235"/>
      <c r="E12" s="231"/>
      <c r="F12" s="226"/>
      <c r="G12" s="227">
        <f t="shared" si="0"/>
        <v>0</v>
      </c>
    </row>
    <row r="13" spans="1:7" ht="13.5" hidden="1" thickBot="1" x14ac:dyDescent="0.25">
      <c r="A13" s="228" t="s">
        <v>485</v>
      </c>
      <c r="B13" s="234" t="s">
        <v>486</v>
      </c>
      <c r="C13" s="235"/>
      <c r="D13" s="235"/>
      <c r="E13" s="231"/>
      <c r="F13" s="226"/>
      <c r="G13" s="227">
        <f t="shared" si="0"/>
        <v>0</v>
      </c>
    </row>
    <row r="14" spans="1:7" ht="13.5" thickBot="1" x14ac:dyDescent="0.25">
      <c r="A14" s="228" t="s">
        <v>228</v>
      </c>
      <c r="B14" s="234" t="s">
        <v>476</v>
      </c>
      <c r="C14" s="235"/>
      <c r="D14" s="235"/>
      <c r="E14" s="231"/>
      <c r="F14" s="226">
        <f>'orc SINAPI FEV 2022'!Q1733</f>
        <v>97365.92</v>
      </c>
      <c r="G14" s="227">
        <f t="shared" si="0"/>
        <v>0.3574</v>
      </c>
    </row>
    <row r="15" spans="1:7" ht="13.5" hidden="1" thickBot="1" x14ac:dyDescent="0.25">
      <c r="A15" s="228" t="s">
        <v>736</v>
      </c>
      <c r="B15" s="234" t="s">
        <v>772</v>
      </c>
      <c r="C15" s="235"/>
      <c r="D15" s="235"/>
      <c r="E15" s="231"/>
      <c r="F15" s="226"/>
      <c r="G15" s="227">
        <f t="shared" si="0"/>
        <v>0</v>
      </c>
    </row>
    <row r="16" spans="1:7" ht="7.15" customHeight="1" thickBot="1" x14ac:dyDescent="0.25">
      <c r="A16" s="236"/>
      <c r="B16" s="233"/>
      <c r="C16" s="233"/>
      <c r="D16" s="233"/>
      <c r="E16" s="233"/>
      <c r="F16" s="237"/>
    </row>
    <row r="17" spans="1:7" ht="14.45" customHeight="1" thickBot="1" x14ac:dyDescent="0.25">
      <c r="A17" s="13" t="s">
        <v>174</v>
      </c>
      <c r="B17" s="14"/>
      <c r="C17" s="6" t="s">
        <v>22</v>
      </c>
      <c r="D17" s="6"/>
      <c r="E17" s="5">
        <v>0</v>
      </c>
      <c r="F17" s="21">
        <f>SUM(F5:F15)</f>
        <v>272438.12</v>
      </c>
      <c r="G17" s="15">
        <f>SUM(G5:G16)</f>
        <v>1</v>
      </c>
    </row>
    <row r="18" spans="1:7" ht="31.9" customHeight="1" x14ac:dyDescent="0.2">
      <c r="A18" s="16" t="s">
        <v>828</v>
      </c>
      <c r="B18" s="17"/>
      <c r="C18" s="239"/>
      <c r="D18" s="18" t="s">
        <v>470</v>
      </c>
      <c r="E18" s="18" t="s">
        <v>471</v>
      </c>
      <c r="F18" s="38" t="s">
        <v>990</v>
      </c>
    </row>
    <row r="19" spans="1:7" x14ac:dyDescent="0.2">
      <c r="A19" s="828"/>
      <c r="B19" s="829"/>
      <c r="C19" s="830"/>
      <c r="D19" s="240"/>
      <c r="E19" s="37"/>
      <c r="F19" s="39">
        <f>ROUND(D19*0.5,-1)</f>
        <v>0</v>
      </c>
    </row>
    <row r="20" spans="1:7" ht="13.5" thickBot="1" x14ac:dyDescent="0.25">
      <c r="A20" s="19"/>
      <c r="B20" s="20"/>
      <c r="C20" s="235"/>
      <c r="D20" s="235"/>
      <c r="E20" s="235"/>
      <c r="F20" s="241"/>
    </row>
  </sheetData>
  <autoFilter ref="A4:F20" xr:uid="{00000000-0009-0000-0000-000006000000}"/>
  <mergeCells count="1">
    <mergeCell ref="A19:C19"/>
  </mergeCells>
  <printOptions horizontalCentered="1"/>
  <pageMargins left="1.1811023622047245" right="0.78740157480314965" top="1.1811023622047245" bottom="1.1811023622047245" header="0.31496062992125984" footer="0.51181102362204722"/>
  <pageSetup paperSize="9" scale="89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638C0-5138-405C-AD11-E51BB8C468E6}">
  <sheetPr>
    <pageSetUpPr fitToPage="1"/>
  </sheetPr>
  <dimension ref="A1:Z84"/>
  <sheetViews>
    <sheetView showZeros="0" topLeftCell="A50" zoomScale="60" zoomScaleNormal="60" workbookViewId="0">
      <selection activeCell="K93" sqref="K93"/>
    </sheetView>
  </sheetViews>
  <sheetFormatPr defaultColWidth="12" defaultRowHeight="11.25" x14ac:dyDescent="0.2"/>
  <cols>
    <col min="1" max="1" width="15.83203125" bestFit="1" customWidth="1"/>
    <col min="2" max="2" width="15.83203125" customWidth="1"/>
    <col min="3" max="3" width="59.6640625" customWidth="1"/>
    <col min="4" max="4" width="0.6640625" customWidth="1"/>
    <col min="5" max="5" width="11.1640625" customWidth="1"/>
    <col min="6" max="6" width="15.83203125" customWidth="1"/>
    <col min="7" max="7" width="12.6640625" customWidth="1"/>
    <col min="8" max="8" width="12.1640625" customWidth="1"/>
    <col min="9" max="9" width="12.83203125" bestFit="1" customWidth="1"/>
    <col min="10" max="10" width="16.1640625" bestFit="1" customWidth="1"/>
    <col min="11" max="11" width="8.1640625" customWidth="1"/>
    <col min="12" max="12" width="13.83203125" customWidth="1"/>
    <col min="13" max="13" width="13.5" customWidth="1"/>
    <col min="14" max="14" width="25.1640625" customWidth="1"/>
    <col min="15" max="15" width="21.5" customWidth="1"/>
    <col min="16" max="16" width="3.83203125" customWidth="1"/>
    <col min="17" max="17" width="18" customWidth="1"/>
    <col min="18" max="18" width="15.5" customWidth="1"/>
    <col min="19" max="19" width="14.6640625" customWidth="1"/>
    <col min="20" max="20" width="25.1640625" customWidth="1"/>
    <col min="21" max="23" width="23.1640625" customWidth="1"/>
    <col min="24" max="24" width="4.6640625" customWidth="1"/>
    <col min="25" max="25" width="19.5" customWidth="1"/>
    <col min="26" max="26" width="20.1640625" customWidth="1"/>
  </cols>
  <sheetData>
    <row r="1" spans="1:24" ht="17.100000000000001" customHeight="1" thickBot="1" x14ac:dyDescent="0.3">
      <c r="A1" s="245"/>
      <c r="B1" s="245"/>
      <c r="C1" s="246"/>
      <c r="D1" s="246"/>
      <c r="E1" s="247"/>
      <c r="F1" s="245"/>
      <c r="G1" s="245"/>
      <c r="H1" s="247"/>
      <c r="I1" s="247"/>
      <c r="J1" s="247"/>
      <c r="K1" s="248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5"/>
    </row>
    <row r="2" spans="1:24" ht="70.5" customHeight="1" thickBot="1" x14ac:dyDescent="0.3">
      <c r="A2" s="249" t="s">
        <v>167</v>
      </c>
      <c r="B2" s="250"/>
      <c r="C2" s="251" t="s">
        <v>54</v>
      </c>
      <c r="D2" s="252"/>
      <c r="E2" s="253" t="s">
        <v>55</v>
      </c>
      <c r="F2" s="254" t="s">
        <v>56</v>
      </c>
      <c r="G2" s="254" t="s">
        <v>57</v>
      </c>
      <c r="H2" s="255" t="s">
        <v>58</v>
      </c>
      <c r="I2" s="256" t="s">
        <v>96</v>
      </c>
      <c r="J2" s="257" t="s">
        <v>59</v>
      </c>
      <c r="K2" s="258" t="s">
        <v>779</v>
      </c>
      <c r="L2" s="259" t="s">
        <v>60</v>
      </c>
      <c r="M2" s="249" t="s">
        <v>166</v>
      </c>
      <c r="N2" s="249" t="s">
        <v>61</v>
      </c>
      <c r="O2" s="260" t="s">
        <v>62</v>
      </c>
      <c r="P2" s="261" t="s">
        <v>63</v>
      </c>
      <c r="Q2" s="260" t="s">
        <v>64</v>
      </c>
      <c r="R2" s="260" t="s">
        <v>65</v>
      </c>
      <c r="S2" s="260" t="s">
        <v>825</v>
      </c>
      <c r="T2" s="260" t="s">
        <v>66</v>
      </c>
      <c r="U2" s="260" t="s">
        <v>824</v>
      </c>
      <c r="V2" s="260" t="s">
        <v>823</v>
      </c>
      <c r="W2" s="260" t="s">
        <v>67</v>
      </c>
      <c r="X2" s="258" t="s">
        <v>68</v>
      </c>
    </row>
    <row r="3" spans="1:24" ht="16.5" thickBot="1" x14ac:dyDescent="0.3">
      <c r="A3" s="245"/>
      <c r="B3" s="245"/>
      <c r="C3" s="262" t="s">
        <v>69</v>
      </c>
      <c r="D3" s="263"/>
      <c r="E3" s="34">
        <f>O3*0.846</f>
        <v>0.87983999999999996</v>
      </c>
      <c r="F3" s="34">
        <f>A3*0.231+M3*0.1+O3*0.0588+P3*0.18+Q3*0.27+R3*0.33+T3*0.005*0.434</f>
        <v>0.11541040000000001</v>
      </c>
      <c r="G3" s="34">
        <f>A3*0.6447+M3*0.51+O3*0.396+P3*1.06+Q3*0.96+R3*0.921+T3*0.005*1.575</f>
        <v>0.62209000000000003</v>
      </c>
      <c r="H3" s="34">
        <f>A3*(0.777+0.45)+M3*(1.5)+P3*1.11+Q3*1.11+R3*1.11</f>
        <v>0.20424000000000003</v>
      </c>
      <c r="I3" s="267"/>
      <c r="J3" s="265">
        <f>A3*345.22+M3*265.87+N3*113.57+O3*536+P3*387.29+Q3*428.6+R3*457.4+S3*464.24+T3*420.56*0.005+U3*26.13+V3*17.82+W3*19.93+X3*359.34+K3*436.99+I3*367.03</f>
        <v>1362.4516159999998</v>
      </c>
      <c r="K3" s="267"/>
      <c r="L3" s="34">
        <f>O3*0.0282</f>
        <v>2.9328E-2</v>
      </c>
      <c r="M3" s="247"/>
      <c r="N3" s="598">
        <f>ROUND(1.5*1.25/4,2)</f>
        <v>0.47</v>
      </c>
      <c r="O3" s="598">
        <f>ROUND(O4/1.5*1.2,2)</f>
        <v>1.04</v>
      </c>
      <c r="P3" s="598">
        <v>9.4E-2</v>
      </c>
      <c r="Q3" s="245"/>
      <c r="R3" s="598">
        <v>0.09</v>
      </c>
      <c r="S3" s="266"/>
      <c r="T3" s="598">
        <f>ROUND(T4/1.5*1.2,2)</f>
        <v>3.52</v>
      </c>
      <c r="U3" s="266"/>
      <c r="V3" s="266"/>
      <c r="W3" s="598">
        <v>15.42</v>
      </c>
      <c r="X3" s="599">
        <v>1</v>
      </c>
    </row>
    <row r="4" spans="1:24" ht="16.5" thickBot="1" x14ac:dyDescent="0.3">
      <c r="A4" s="245"/>
      <c r="B4" s="245"/>
      <c r="C4" s="262" t="s">
        <v>70</v>
      </c>
      <c r="D4" s="263"/>
      <c r="E4" s="264">
        <f t="shared" ref="E4:E67" si="0">O4*0.846</f>
        <v>1.0998000000000001</v>
      </c>
      <c r="F4" s="264">
        <f t="shared" ref="F4:F67" si="1">A4*0.231+M4*0.1+O4*0.0588+P4*0.18+Q4*0.27+R4*0.33+T4*0.005*0.434</f>
        <v>0.132608</v>
      </c>
      <c r="G4" s="264">
        <f t="shared" ref="G4:G67" si="2">A4*0.6447+M4*0.51+O4*0.396+P4*1.06+Q4*0.96+R4*0.921+T4*0.005*1.575</f>
        <v>0.73198000000000008</v>
      </c>
      <c r="H4" s="264">
        <f>A4*(0.777+0.45)+M4*(1.5)+P4*1.11+Q4*1.11+R4*1.11</f>
        <v>0.20424000000000003</v>
      </c>
      <c r="I4" s="267"/>
      <c r="J4" s="265">
        <f t="shared" ref="J4:J67" si="3">A4*345.22+M4*265.87+N4*113.57+O4*536+P4*387.29+Q4*428.6+R4*457.4+S4*464.24+T4*420.56*0.005+U4*26.13+V4*17.82+W4*19.93+X4*359.34+K4*436.99+I4*367.03</f>
        <v>1503.6620800000001</v>
      </c>
      <c r="K4" s="267"/>
      <c r="L4" s="264">
        <f t="shared" ref="L4:L67" si="4">O4*0.0282</f>
        <v>3.6659999999999998E-2</v>
      </c>
      <c r="M4" s="247"/>
      <c r="N4" s="266">
        <f>ROUND(1.5*1.25/4,2)</f>
        <v>0.47</v>
      </c>
      <c r="O4" s="268">
        <f>ROUND(0.89*2*0.25*(1.5+0.75)*1.3,2)</f>
        <v>1.3</v>
      </c>
      <c r="P4" s="266">
        <v>9.4E-2</v>
      </c>
      <c r="Q4" s="245"/>
      <c r="R4" s="266">
        <v>0.09</v>
      </c>
      <c r="S4" s="266"/>
      <c r="T4" s="268">
        <v>4.4000000000000004</v>
      </c>
      <c r="U4" s="266"/>
      <c r="V4" s="266"/>
      <c r="W4" s="266">
        <v>15.42</v>
      </c>
      <c r="X4" s="245">
        <v>1</v>
      </c>
    </row>
    <row r="5" spans="1:24" ht="16.5" thickBot="1" x14ac:dyDescent="0.3">
      <c r="A5" s="245"/>
      <c r="B5" s="245"/>
      <c r="C5" s="262" t="s">
        <v>71</v>
      </c>
      <c r="D5" s="263"/>
      <c r="E5" s="264">
        <f t="shared" si="0"/>
        <v>1.4635799999999999</v>
      </c>
      <c r="F5" s="264">
        <f t="shared" si="1"/>
        <v>0.1610819</v>
      </c>
      <c r="G5" s="264">
        <f t="shared" si="2"/>
        <v>0.91383625000000013</v>
      </c>
      <c r="H5" s="264">
        <f t="shared" ref="H5:H68" si="5">A5*(0.777+0.45)+M5*(1.5)+P5*1.11+Q5*1.11+R5*1.11</f>
        <v>0.20424000000000003</v>
      </c>
      <c r="I5" s="267"/>
      <c r="J5" s="265">
        <f t="shared" si="3"/>
        <v>1737.2331959999999</v>
      </c>
      <c r="K5" s="267"/>
      <c r="L5" s="264">
        <f t="shared" si="4"/>
        <v>4.8785999999999996E-2</v>
      </c>
      <c r="M5" s="247"/>
      <c r="N5" s="266">
        <f>ROUND(1.5*1.25/4,2)</f>
        <v>0.47</v>
      </c>
      <c r="O5" s="266">
        <f>ROUND(O4/1.5*2,2)</f>
        <v>1.73</v>
      </c>
      <c r="P5" s="266">
        <v>9.4E-2</v>
      </c>
      <c r="Q5" s="245"/>
      <c r="R5" s="266">
        <v>0.09</v>
      </c>
      <c r="S5" s="266"/>
      <c r="T5" s="266">
        <f>ROUND(T4/1.5*2,2)</f>
        <v>5.87</v>
      </c>
      <c r="U5" s="266"/>
      <c r="V5" s="266"/>
      <c r="W5" s="266">
        <v>15.42</v>
      </c>
      <c r="X5" s="245">
        <v>1</v>
      </c>
    </row>
    <row r="6" spans="1:24" ht="16.5" thickBot="1" x14ac:dyDescent="0.3">
      <c r="A6" s="245"/>
      <c r="B6" s="245"/>
      <c r="C6" s="262" t="s">
        <v>72</v>
      </c>
      <c r="D6" s="263"/>
      <c r="E6" s="264">
        <f t="shared" si="0"/>
        <v>1.8358199999999998</v>
      </c>
      <c r="F6" s="264">
        <f t="shared" si="1"/>
        <v>0.19012209999999999</v>
      </c>
      <c r="G6" s="264">
        <f t="shared" si="2"/>
        <v>1.09957375</v>
      </c>
      <c r="H6" s="264">
        <f t="shared" si="5"/>
        <v>0.20424000000000003</v>
      </c>
      <c r="I6" s="267"/>
      <c r="J6" s="265">
        <f t="shared" si="3"/>
        <v>1976.1432839999998</v>
      </c>
      <c r="K6" s="267"/>
      <c r="L6" s="264">
        <f t="shared" si="4"/>
        <v>6.1193999999999998E-2</v>
      </c>
      <c r="M6" s="247"/>
      <c r="N6" s="266">
        <f>ROUND(1.5*1.25/4,2)</f>
        <v>0.47</v>
      </c>
      <c r="O6" s="266">
        <f>ROUND(O4/1.5*2.5,2)</f>
        <v>2.17</v>
      </c>
      <c r="P6" s="266">
        <v>9.4E-2</v>
      </c>
      <c r="Q6" s="245"/>
      <c r="R6" s="266">
        <v>0.09</v>
      </c>
      <c r="S6" s="266"/>
      <c r="T6" s="266">
        <f>ROUND(T4/1.5*2.5,2)</f>
        <v>7.33</v>
      </c>
      <c r="U6" s="266"/>
      <c r="V6" s="266"/>
      <c r="W6" s="266">
        <v>15.42</v>
      </c>
      <c r="X6" s="245">
        <v>1</v>
      </c>
    </row>
    <row r="7" spans="1:24" ht="16.5" thickBot="1" x14ac:dyDescent="0.3">
      <c r="A7" s="245"/>
      <c r="B7" s="245"/>
      <c r="C7" s="262" t="s">
        <v>404</v>
      </c>
      <c r="D7" s="263"/>
      <c r="E7" s="264">
        <f t="shared" si="0"/>
        <v>0</v>
      </c>
      <c r="F7" s="264">
        <f t="shared" si="1"/>
        <v>0.43266000000000004</v>
      </c>
      <c r="G7" s="264">
        <f t="shared" si="2"/>
        <v>1.26997</v>
      </c>
      <c r="H7" s="264">
        <f t="shared" si="5"/>
        <v>1.5118200000000002</v>
      </c>
      <c r="I7" s="267"/>
      <c r="J7" s="265">
        <f t="shared" si="3"/>
        <v>1121.53963</v>
      </c>
      <c r="K7" s="267"/>
      <c r="L7" s="264">
        <f t="shared" si="4"/>
        <v>0</v>
      </c>
      <c r="M7" s="247"/>
      <c r="N7" s="266">
        <f>N11/2</f>
        <v>1.2949999999999999</v>
      </c>
      <c r="O7" s="266"/>
      <c r="P7" s="266">
        <v>0.112</v>
      </c>
      <c r="Q7" s="245"/>
      <c r="R7" s="266">
        <f>ROUND(1.58/1.45*1.15,2)</f>
        <v>1.25</v>
      </c>
      <c r="S7" s="266"/>
      <c r="T7" s="266"/>
      <c r="U7" s="266"/>
      <c r="V7" s="266"/>
      <c r="W7" s="266"/>
      <c r="X7" s="245">
        <v>1</v>
      </c>
    </row>
    <row r="8" spans="1:24" ht="16.5" thickBot="1" x14ac:dyDescent="0.3">
      <c r="A8" s="245"/>
      <c r="B8" s="245"/>
      <c r="C8" s="262" t="s">
        <v>405</v>
      </c>
      <c r="D8" s="263"/>
      <c r="E8" s="264">
        <f t="shared" si="0"/>
        <v>0</v>
      </c>
      <c r="F8" s="264">
        <f t="shared" si="1"/>
        <v>0.54156000000000004</v>
      </c>
      <c r="G8" s="264">
        <f t="shared" si="2"/>
        <v>1.5739000000000001</v>
      </c>
      <c r="H8" s="264">
        <f t="shared" si="5"/>
        <v>1.8781200000000002</v>
      </c>
      <c r="I8" s="267"/>
      <c r="J8" s="265">
        <f t="shared" si="3"/>
        <v>1311.0954299999999</v>
      </c>
      <c r="K8" s="267"/>
      <c r="L8" s="264">
        <f t="shared" si="4"/>
        <v>0</v>
      </c>
      <c r="M8" s="247"/>
      <c r="N8" s="266">
        <f>N12/2</f>
        <v>1.635</v>
      </c>
      <c r="O8" s="266"/>
      <c r="P8" s="266">
        <v>0.112</v>
      </c>
      <c r="Q8" s="245"/>
      <c r="R8" s="266">
        <v>1.58</v>
      </c>
      <c r="S8" s="266"/>
      <c r="T8" s="266"/>
      <c r="U8" s="266"/>
      <c r="V8" s="266"/>
      <c r="W8" s="266"/>
      <c r="X8" s="245">
        <v>1</v>
      </c>
    </row>
    <row r="9" spans="1:24" ht="16.5" thickBot="1" x14ac:dyDescent="0.3">
      <c r="A9" s="245"/>
      <c r="B9" s="245"/>
      <c r="C9" s="262" t="s">
        <v>406</v>
      </c>
      <c r="D9" s="263"/>
      <c r="E9" s="264">
        <f t="shared" si="0"/>
        <v>0</v>
      </c>
      <c r="F9" s="264">
        <f t="shared" si="1"/>
        <v>0.71976000000000007</v>
      </c>
      <c r="G9" s="264">
        <f t="shared" si="2"/>
        <v>2.0712400000000004</v>
      </c>
      <c r="H9" s="264">
        <f t="shared" si="5"/>
        <v>2.4775200000000002</v>
      </c>
      <c r="I9" s="267"/>
      <c r="J9" s="265">
        <f t="shared" si="3"/>
        <v>1622.25848</v>
      </c>
      <c r="K9" s="267"/>
      <c r="L9" s="264">
        <f t="shared" si="4"/>
        <v>0</v>
      </c>
      <c r="M9" s="247"/>
      <c r="N9" s="266">
        <f>N13/2</f>
        <v>2.2000000000000002</v>
      </c>
      <c r="O9" s="266"/>
      <c r="P9" s="266">
        <v>0.112</v>
      </c>
      <c r="Q9" s="245"/>
      <c r="R9" s="266">
        <f>ROUND(1.58/1.45*1.95,2)</f>
        <v>2.12</v>
      </c>
      <c r="S9" s="266"/>
      <c r="T9" s="266"/>
      <c r="U9" s="266"/>
      <c r="V9" s="266"/>
      <c r="W9" s="266"/>
      <c r="X9" s="245">
        <v>1</v>
      </c>
    </row>
    <row r="10" spans="1:24" ht="16.5" thickBot="1" x14ac:dyDescent="0.3">
      <c r="A10" s="245"/>
      <c r="B10" s="245"/>
      <c r="C10" s="262" t="s">
        <v>407</v>
      </c>
      <c r="D10" s="263"/>
      <c r="E10" s="264">
        <f t="shared" si="0"/>
        <v>0</v>
      </c>
      <c r="F10" s="264">
        <f t="shared" si="1"/>
        <v>0.90125999999999995</v>
      </c>
      <c r="G10" s="264">
        <f t="shared" si="2"/>
        <v>2.5777900000000002</v>
      </c>
      <c r="H10" s="264">
        <f t="shared" si="5"/>
        <v>3.0880200000000002</v>
      </c>
      <c r="I10" s="267"/>
      <c r="J10" s="265">
        <f t="shared" si="3"/>
        <v>1937.9955299999997</v>
      </c>
      <c r="K10" s="267"/>
      <c r="L10" s="264">
        <f t="shared" si="4"/>
        <v>0</v>
      </c>
      <c r="M10" s="247"/>
      <c r="N10" s="266">
        <f>N14/2</f>
        <v>2.7650000000000001</v>
      </c>
      <c r="O10" s="266"/>
      <c r="P10" s="266">
        <v>0.112</v>
      </c>
      <c r="Q10" s="245"/>
      <c r="R10" s="266">
        <f>ROUND(1.58/1.45*2.45,2)</f>
        <v>2.67</v>
      </c>
      <c r="S10" s="266"/>
      <c r="T10" s="266"/>
      <c r="U10" s="266"/>
      <c r="V10" s="266"/>
      <c r="W10" s="266"/>
      <c r="X10" s="245">
        <v>1</v>
      </c>
    </row>
    <row r="11" spans="1:24" ht="16.5" thickBot="1" x14ac:dyDescent="0.3">
      <c r="A11" s="245"/>
      <c r="B11" s="245"/>
      <c r="C11" s="262" t="s">
        <v>108</v>
      </c>
      <c r="D11" s="263"/>
      <c r="E11" s="264">
        <f t="shared" si="0"/>
        <v>0</v>
      </c>
      <c r="F11" s="264">
        <f t="shared" si="1"/>
        <v>0.20478000000000002</v>
      </c>
      <c r="G11" s="264">
        <f t="shared" si="2"/>
        <v>0.60275000000000001</v>
      </c>
      <c r="H11" s="264">
        <f t="shared" si="5"/>
        <v>0.71706000000000003</v>
      </c>
      <c r="I11" s="267"/>
      <c r="J11" s="265">
        <f t="shared" si="3"/>
        <v>1971.4355399999997</v>
      </c>
      <c r="K11" s="267"/>
      <c r="L11" s="264">
        <f t="shared" si="4"/>
        <v>0</v>
      </c>
      <c r="M11" s="247"/>
      <c r="N11" s="266">
        <f>ROUND(N12/1.45*1.15,2)</f>
        <v>2.59</v>
      </c>
      <c r="O11" s="266"/>
      <c r="P11" s="266">
        <f>0.112/2</f>
        <v>5.6000000000000001E-2</v>
      </c>
      <c r="Q11" s="245"/>
      <c r="R11" s="266">
        <f>ROUND(R12/1.45*1.15,2)</f>
        <v>0.59</v>
      </c>
      <c r="S11" s="266"/>
      <c r="T11" s="266"/>
      <c r="U11" s="266"/>
      <c r="V11" s="266"/>
      <c r="W11" s="266">
        <f>ROUND(W12/1.45*1.15,2)</f>
        <v>51.5</v>
      </c>
      <c r="X11" s="245">
        <v>1</v>
      </c>
    </row>
    <row r="12" spans="1:24" ht="16.5" thickBot="1" x14ac:dyDescent="0.3">
      <c r="A12" s="245"/>
      <c r="B12" s="245"/>
      <c r="C12" s="262" t="s">
        <v>105</v>
      </c>
      <c r="D12" s="263"/>
      <c r="E12" s="264">
        <f t="shared" si="0"/>
        <v>0</v>
      </c>
      <c r="F12" s="264">
        <f t="shared" si="1"/>
        <v>0.25757999999999998</v>
      </c>
      <c r="G12" s="264">
        <f t="shared" si="2"/>
        <v>0.75010999999999994</v>
      </c>
      <c r="H12" s="264">
        <f t="shared" si="5"/>
        <v>0.89466000000000001</v>
      </c>
      <c r="I12" s="267"/>
      <c r="J12" s="265">
        <f t="shared" si="3"/>
        <v>2389.7063399999997</v>
      </c>
      <c r="K12" s="267"/>
      <c r="L12" s="264">
        <f t="shared" si="4"/>
        <v>0</v>
      </c>
      <c r="M12" s="247"/>
      <c r="N12" s="268">
        <f>ROUND(9.8/3,2)</f>
        <v>3.27</v>
      </c>
      <c r="O12" s="266"/>
      <c r="P12" s="266">
        <f>0.112/2</f>
        <v>5.6000000000000001E-2</v>
      </c>
      <c r="Q12" s="245"/>
      <c r="R12" s="268">
        <v>0.75</v>
      </c>
      <c r="S12" s="268"/>
      <c r="T12" s="266"/>
      <c r="U12" s="268"/>
      <c r="V12" s="268"/>
      <c r="W12" s="268">
        <v>64.94</v>
      </c>
      <c r="X12" s="245">
        <v>1</v>
      </c>
    </row>
    <row r="13" spans="1:24" ht="16.5" thickBot="1" x14ac:dyDescent="0.3">
      <c r="A13" s="245"/>
      <c r="B13" s="245"/>
      <c r="C13" s="262" t="s">
        <v>106</v>
      </c>
      <c r="D13" s="263"/>
      <c r="E13" s="264">
        <f t="shared" si="0"/>
        <v>0</v>
      </c>
      <c r="F13" s="264">
        <f t="shared" si="1"/>
        <v>0.34338000000000002</v>
      </c>
      <c r="G13" s="264">
        <f t="shared" si="2"/>
        <v>0.98957000000000006</v>
      </c>
      <c r="H13" s="264">
        <f t="shared" si="5"/>
        <v>1.1832600000000002</v>
      </c>
      <c r="I13" s="267"/>
      <c r="J13" s="265">
        <f t="shared" si="3"/>
        <v>2636.9644399999997</v>
      </c>
      <c r="K13" s="267"/>
      <c r="L13" s="264">
        <f t="shared" si="4"/>
        <v>0</v>
      </c>
      <c r="M13" s="247"/>
      <c r="N13" s="266">
        <f>ROUND(N12/1.45*1.95,2)</f>
        <v>4.4000000000000004</v>
      </c>
      <c r="O13" s="266"/>
      <c r="P13" s="266">
        <f>0.112/2</f>
        <v>5.6000000000000001E-2</v>
      </c>
      <c r="Q13" s="245"/>
      <c r="R13" s="266">
        <f>ROUND(R12/1.45*1.95,2)</f>
        <v>1.01</v>
      </c>
      <c r="S13" s="266"/>
      <c r="T13" s="266"/>
      <c r="U13" s="266"/>
      <c r="V13" s="266"/>
      <c r="W13" s="266">
        <f>ROUND(W12/1.95*1.95,2)</f>
        <v>64.94</v>
      </c>
      <c r="X13" s="245">
        <v>1</v>
      </c>
    </row>
    <row r="14" spans="1:24" ht="16.5" thickBot="1" x14ac:dyDescent="0.3">
      <c r="A14" s="245"/>
      <c r="B14" s="245"/>
      <c r="C14" s="262" t="s">
        <v>107</v>
      </c>
      <c r="D14" s="263"/>
      <c r="E14" s="264">
        <f t="shared" si="0"/>
        <v>0</v>
      </c>
      <c r="F14" s="264">
        <f t="shared" si="1"/>
        <v>0.42918000000000001</v>
      </c>
      <c r="G14" s="264">
        <f t="shared" si="2"/>
        <v>1.2290300000000001</v>
      </c>
      <c r="H14" s="264">
        <f t="shared" si="5"/>
        <v>1.4718600000000002</v>
      </c>
      <c r="I14" s="267"/>
      <c r="J14" s="265">
        <f t="shared" si="3"/>
        <v>3216.0570400000001</v>
      </c>
      <c r="K14" s="267"/>
      <c r="L14" s="264">
        <f t="shared" si="4"/>
        <v>0</v>
      </c>
      <c r="M14" s="247"/>
      <c r="N14" s="266">
        <f>ROUND(N12/1.45*2.45,2)</f>
        <v>5.53</v>
      </c>
      <c r="O14" s="266"/>
      <c r="P14" s="266">
        <f>0.112/2</f>
        <v>5.6000000000000001E-2</v>
      </c>
      <c r="Q14" s="245"/>
      <c r="R14" s="266">
        <f>ROUND(R12/1.45*2.45,2)</f>
        <v>1.27</v>
      </c>
      <c r="S14" s="266"/>
      <c r="T14" s="266"/>
      <c r="U14" s="266"/>
      <c r="V14" s="266"/>
      <c r="W14" s="266">
        <f>ROUND(W12/1.95*2.45,2)</f>
        <v>81.59</v>
      </c>
      <c r="X14" s="245">
        <v>1</v>
      </c>
    </row>
    <row r="15" spans="1:24" ht="16.5" thickBot="1" x14ac:dyDescent="0.3">
      <c r="A15" s="245"/>
      <c r="B15" s="245"/>
      <c r="C15" s="262" t="s">
        <v>101</v>
      </c>
      <c r="D15" s="263"/>
      <c r="E15" s="264">
        <f t="shared" si="0"/>
        <v>1.6716959999999998</v>
      </c>
      <c r="F15" s="264">
        <f t="shared" si="1"/>
        <v>0.2047668</v>
      </c>
      <c r="G15" s="264">
        <f t="shared" si="2"/>
        <v>1.1293030000000002</v>
      </c>
      <c r="H15" s="264">
        <f t="shared" si="5"/>
        <v>0.38805600000000001</v>
      </c>
      <c r="I15" s="267"/>
      <c r="J15" s="265">
        <f t="shared" si="3"/>
        <v>2610.5285439999998</v>
      </c>
      <c r="K15" s="267"/>
      <c r="L15" s="264">
        <f t="shared" si="4"/>
        <v>5.5723200000000001E-2</v>
      </c>
      <c r="M15" s="247"/>
      <c r="N15" s="266">
        <f>N3*1.9</f>
        <v>0.8929999999999999</v>
      </c>
      <c r="O15" s="266">
        <f>O3*1.9</f>
        <v>1.976</v>
      </c>
      <c r="P15" s="266">
        <f>P3*1.9</f>
        <v>0.17859999999999998</v>
      </c>
      <c r="Q15" s="245"/>
      <c r="R15" s="266">
        <f>R3*1.9</f>
        <v>0.17099999999999999</v>
      </c>
      <c r="S15" s="266"/>
      <c r="T15" s="266"/>
      <c r="U15" s="266"/>
      <c r="V15" s="266"/>
      <c r="W15" s="266">
        <f>W3*1.9</f>
        <v>29.297999999999998</v>
      </c>
      <c r="X15" s="245">
        <v>2</v>
      </c>
    </row>
    <row r="16" spans="1:24" ht="16.5" thickBot="1" x14ac:dyDescent="0.3">
      <c r="A16" s="245"/>
      <c r="B16" s="245"/>
      <c r="C16" s="262" t="s">
        <v>102</v>
      </c>
      <c r="D16" s="263"/>
      <c r="E16" s="264">
        <f t="shared" si="0"/>
        <v>2.0896199999999996</v>
      </c>
      <c r="F16" s="264">
        <f t="shared" si="1"/>
        <v>0.23381399999999999</v>
      </c>
      <c r="G16" s="264">
        <f t="shared" si="2"/>
        <v>1.324927</v>
      </c>
      <c r="H16" s="264">
        <f t="shared" si="5"/>
        <v>0.38805600000000001</v>
      </c>
      <c r="I16" s="267"/>
      <c r="J16" s="265">
        <f t="shared" si="3"/>
        <v>2875.3125439999999</v>
      </c>
      <c r="K16" s="267"/>
      <c r="L16" s="264">
        <f t="shared" si="4"/>
        <v>6.9653999999999994E-2</v>
      </c>
      <c r="M16" s="247"/>
      <c r="N16" s="266">
        <f t="shared" ref="N16:P18" si="6">N4*1.9</f>
        <v>0.8929999999999999</v>
      </c>
      <c r="O16" s="266">
        <f t="shared" si="6"/>
        <v>2.4699999999999998</v>
      </c>
      <c r="P16" s="266">
        <f t="shared" si="6"/>
        <v>0.17859999999999998</v>
      </c>
      <c r="Q16" s="245"/>
      <c r="R16" s="266">
        <f>R4*1.9</f>
        <v>0.17099999999999999</v>
      </c>
      <c r="S16" s="266"/>
      <c r="T16" s="266"/>
      <c r="U16" s="266"/>
      <c r="V16" s="266"/>
      <c r="W16" s="266">
        <f>W4*1.9</f>
        <v>29.297999999999998</v>
      </c>
      <c r="X16" s="245">
        <v>2</v>
      </c>
    </row>
    <row r="17" spans="1:26" ht="16.5" thickBot="1" x14ac:dyDescent="0.3">
      <c r="A17" s="245"/>
      <c r="B17" s="245"/>
      <c r="C17" s="262" t="s">
        <v>103</v>
      </c>
      <c r="D17" s="263"/>
      <c r="E17" s="264">
        <f t="shared" si="0"/>
        <v>2.780802</v>
      </c>
      <c r="F17" s="264">
        <f t="shared" si="1"/>
        <v>0.28185359999999998</v>
      </c>
      <c r="G17" s="264">
        <f t="shared" si="2"/>
        <v>1.6484590000000001</v>
      </c>
      <c r="H17" s="264">
        <f t="shared" si="5"/>
        <v>0.38805600000000001</v>
      </c>
      <c r="I17" s="267"/>
      <c r="J17" s="265">
        <f t="shared" si="3"/>
        <v>3313.2245439999997</v>
      </c>
      <c r="K17" s="267"/>
      <c r="L17" s="264">
        <f t="shared" si="4"/>
        <v>9.2693399999999995E-2</v>
      </c>
      <c r="M17" s="247"/>
      <c r="N17" s="266">
        <f t="shared" si="6"/>
        <v>0.8929999999999999</v>
      </c>
      <c r="O17" s="266">
        <f t="shared" si="6"/>
        <v>3.2869999999999999</v>
      </c>
      <c r="P17" s="266">
        <f t="shared" si="6"/>
        <v>0.17859999999999998</v>
      </c>
      <c r="Q17" s="245"/>
      <c r="R17" s="266">
        <f>R5*1.9</f>
        <v>0.17099999999999999</v>
      </c>
      <c r="S17" s="266"/>
      <c r="T17" s="266"/>
      <c r="U17" s="266"/>
      <c r="V17" s="266"/>
      <c r="W17" s="266">
        <f>W5*1.9</f>
        <v>29.297999999999998</v>
      </c>
      <c r="X17" s="245">
        <v>2</v>
      </c>
    </row>
    <row r="18" spans="1:26" ht="16.5" thickBot="1" x14ac:dyDescent="0.3">
      <c r="A18" s="245"/>
      <c r="B18" s="245"/>
      <c r="C18" s="262" t="s">
        <v>104</v>
      </c>
      <c r="D18" s="263"/>
      <c r="E18" s="264">
        <f t="shared" si="0"/>
        <v>3.4880579999999992</v>
      </c>
      <c r="F18" s="264">
        <f t="shared" si="1"/>
        <v>0.33101039999999993</v>
      </c>
      <c r="G18" s="264">
        <f t="shared" si="2"/>
        <v>1.9795149999999999</v>
      </c>
      <c r="H18" s="264">
        <f t="shared" si="5"/>
        <v>0.38805600000000001</v>
      </c>
      <c r="I18" s="267"/>
      <c r="J18" s="265">
        <f t="shared" si="3"/>
        <v>3761.3205439999988</v>
      </c>
      <c r="K18" s="267"/>
      <c r="L18" s="264">
        <f t="shared" si="4"/>
        <v>0.11626859999999997</v>
      </c>
      <c r="M18" s="247"/>
      <c r="N18" s="266">
        <f t="shared" si="6"/>
        <v>0.8929999999999999</v>
      </c>
      <c r="O18" s="266">
        <f t="shared" si="6"/>
        <v>4.1229999999999993</v>
      </c>
      <c r="P18" s="266">
        <f t="shared" si="6"/>
        <v>0.17859999999999998</v>
      </c>
      <c r="Q18" s="245"/>
      <c r="R18" s="266">
        <f>R6*1.9</f>
        <v>0.17099999999999999</v>
      </c>
      <c r="S18" s="266"/>
      <c r="T18" s="266"/>
      <c r="U18" s="266"/>
      <c r="V18" s="266"/>
      <c r="W18" s="266">
        <f>W6*1.9</f>
        <v>29.297999999999998</v>
      </c>
      <c r="X18" s="245">
        <v>2</v>
      </c>
    </row>
    <row r="19" spans="1:26" ht="16.5" thickBot="1" x14ac:dyDescent="0.3">
      <c r="A19" s="245"/>
      <c r="B19" s="245"/>
      <c r="C19" s="262" t="s">
        <v>408</v>
      </c>
      <c r="D19" s="263"/>
      <c r="E19" s="264">
        <f t="shared" si="0"/>
        <v>0</v>
      </c>
      <c r="F19" s="264">
        <f t="shared" si="1"/>
        <v>0.82205400000000006</v>
      </c>
      <c r="G19" s="264">
        <f t="shared" si="2"/>
        <v>2.4129430000000003</v>
      </c>
      <c r="H19" s="264">
        <f t="shared" si="5"/>
        <v>2.8724580000000004</v>
      </c>
      <c r="I19" s="267"/>
      <c r="J19" s="265">
        <f t="shared" si="3"/>
        <v>2166.859297</v>
      </c>
      <c r="K19" s="267"/>
      <c r="L19" s="264">
        <f t="shared" si="4"/>
        <v>0</v>
      </c>
      <c r="M19" s="247"/>
      <c r="N19" s="266">
        <f>1.9*N7</f>
        <v>2.4604999999999997</v>
      </c>
      <c r="O19" s="266"/>
      <c r="P19" s="266">
        <f t="shared" ref="P19:P26" si="7">1.9*P7</f>
        <v>0.21279999999999999</v>
      </c>
      <c r="Q19" s="245"/>
      <c r="R19" s="266">
        <f t="shared" ref="R19:R26" si="8">1.9*R7</f>
        <v>2.375</v>
      </c>
      <c r="S19" s="266"/>
      <c r="T19" s="266"/>
      <c r="U19" s="266"/>
      <c r="V19" s="266"/>
      <c r="W19" s="266"/>
      <c r="X19" s="245">
        <v>2</v>
      </c>
    </row>
    <row r="20" spans="1:26" ht="16.5" thickBot="1" x14ac:dyDescent="0.3">
      <c r="A20" s="245"/>
      <c r="B20" s="245"/>
      <c r="C20" s="262" t="s">
        <v>409</v>
      </c>
      <c r="D20" s="263"/>
      <c r="E20" s="264">
        <f t="shared" si="0"/>
        <v>0</v>
      </c>
      <c r="F20" s="264">
        <f t="shared" si="1"/>
        <v>1.028964</v>
      </c>
      <c r="G20" s="264">
        <f t="shared" si="2"/>
        <v>2.9904099999999998</v>
      </c>
      <c r="H20" s="264">
        <f t="shared" si="5"/>
        <v>3.5684279999999999</v>
      </c>
      <c r="I20" s="267"/>
      <c r="J20" s="265">
        <f t="shared" si="3"/>
        <v>2527.0153169999999</v>
      </c>
      <c r="K20" s="267"/>
      <c r="L20" s="264">
        <f t="shared" si="4"/>
        <v>0</v>
      </c>
      <c r="M20" s="247"/>
      <c r="N20" s="266">
        <f t="shared" ref="N20:N26" si="9">1.9*N8</f>
        <v>3.1065</v>
      </c>
      <c r="O20" s="266"/>
      <c r="P20" s="266">
        <f t="shared" si="7"/>
        <v>0.21279999999999999</v>
      </c>
      <c r="Q20" s="245"/>
      <c r="R20" s="266">
        <f t="shared" si="8"/>
        <v>3.0019999999999998</v>
      </c>
      <c r="S20" s="266"/>
      <c r="T20" s="266"/>
      <c r="U20" s="266"/>
      <c r="V20" s="266"/>
      <c r="W20" s="266"/>
      <c r="X20" s="245">
        <v>2</v>
      </c>
    </row>
    <row r="21" spans="1:26" ht="16.5" thickBot="1" x14ac:dyDescent="0.3">
      <c r="A21" s="245"/>
      <c r="B21" s="245"/>
      <c r="C21" s="262" t="s">
        <v>410</v>
      </c>
      <c r="D21" s="263"/>
      <c r="E21" s="264">
        <f t="shared" si="0"/>
        <v>0</v>
      </c>
      <c r="F21" s="264">
        <f t="shared" si="1"/>
        <v>1.3675439999999999</v>
      </c>
      <c r="G21" s="264">
        <f t="shared" si="2"/>
        <v>3.9353559999999996</v>
      </c>
      <c r="H21" s="264">
        <f t="shared" si="5"/>
        <v>4.7072880000000001</v>
      </c>
      <c r="I21" s="267"/>
      <c r="J21" s="265">
        <f t="shared" si="3"/>
        <v>3118.2251119999996</v>
      </c>
      <c r="K21" s="267"/>
      <c r="L21" s="264">
        <f t="shared" si="4"/>
        <v>0</v>
      </c>
      <c r="M21" s="247"/>
      <c r="N21" s="266">
        <f t="shared" si="9"/>
        <v>4.18</v>
      </c>
      <c r="O21" s="266"/>
      <c r="P21" s="266">
        <f t="shared" si="7"/>
        <v>0.21279999999999999</v>
      </c>
      <c r="Q21" s="245"/>
      <c r="R21" s="266">
        <f t="shared" si="8"/>
        <v>4.0279999999999996</v>
      </c>
      <c r="S21" s="266"/>
      <c r="T21" s="266"/>
      <c r="U21" s="266"/>
      <c r="V21" s="266"/>
      <c r="W21" s="266"/>
      <c r="X21" s="245">
        <v>2</v>
      </c>
    </row>
    <row r="22" spans="1:26" ht="16.5" thickBot="1" x14ac:dyDescent="0.3">
      <c r="A22" s="245"/>
      <c r="B22" s="245"/>
      <c r="C22" s="262" t="s">
        <v>411</v>
      </c>
      <c r="D22" s="263"/>
      <c r="E22" s="264">
        <f t="shared" si="0"/>
        <v>0</v>
      </c>
      <c r="F22" s="264">
        <f t="shared" si="1"/>
        <v>1.7123939999999997</v>
      </c>
      <c r="G22" s="264">
        <f t="shared" si="2"/>
        <v>4.8978009999999994</v>
      </c>
      <c r="H22" s="264">
        <f t="shared" si="5"/>
        <v>5.8672380000000004</v>
      </c>
      <c r="I22" s="267"/>
      <c r="J22" s="265">
        <f t="shared" si="3"/>
        <v>3718.1255069999997</v>
      </c>
      <c r="K22" s="267"/>
      <c r="L22" s="264">
        <f t="shared" si="4"/>
        <v>0</v>
      </c>
      <c r="M22" s="247"/>
      <c r="N22" s="266">
        <f t="shared" si="9"/>
        <v>5.2534999999999998</v>
      </c>
      <c r="O22" s="266"/>
      <c r="P22" s="266">
        <f t="shared" si="7"/>
        <v>0.21279999999999999</v>
      </c>
      <c r="Q22" s="245"/>
      <c r="R22" s="266">
        <f t="shared" si="8"/>
        <v>5.0729999999999995</v>
      </c>
      <c r="S22" s="266"/>
      <c r="T22" s="266"/>
      <c r="U22" s="266"/>
      <c r="V22" s="266"/>
      <c r="W22" s="266"/>
      <c r="X22" s="245">
        <v>2</v>
      </c>
    </row>
    <row r="23" spans="1:26" ht="16.5" thickBot="1" x14ac:dyDescent="0.3">
      <c r="A23" s="245"/>
      <c r="B23" s="245"/>
      <c r="C23" s="262" t="s">
        <v>112</v>
      </c>
      <c r="D23" s="263"/>
      <c r="E23" s="264">
        <f t="shared" si="0"/>
        <v>0</v>
      </c>
      <c r="F23" s="264">
        <f t="shared" si="1"/>
        <v>0.38908200000000004</v>
      </c>
      <c r="G23" s="264">
        <f t="shared" si="2"/>
        <v>1.1452249999999999</v>
      </c>
      <c r="H23" s="264">
        <f t="shared" si="5"/>
        <v>1.362414</v>
      </c>
      <c r="I23" s="267"/>
      <c r="J23" s="265">
        <f t="shared" si="3"/>
        <v>3781.6615259999994</v>
      </c>
      <c r="K23" s="267"/>
      <c r="L23" s="264">
        <f t="shared" si="4"/>
        <v>0</v>
      </c>
      <c r="M23" s="247"/>
      <c r="N23" s="266">
        <f>1.9*N11</f>
        <v>4.9209999999999994</v>
      </c>
      <c r="O23" s="266"/>
      <c r="P23" s="266">
        <f t="shared" si="7"/>
        <v>0.10639999999999999</v>
      </c>
      <c r="Q23" s="245"/>
      <c r="R23" s="266">
        <f>1.9*R11</f>
        <v>1.121</v>
      </c>
      <c r="S23" s="266"/>
      <c r="T23" s="266"/>
      <c r="U23" s="266"/>
      <c r="V23" s="266"/>
      <c r="W23" s="266">
        <f>1.9*W11</f>
        <v>97.85</v>
      </c>
      <c r="X23" s="245">
        <v>2</v>
      </c>
    </row>
    <row r="24" spans="1:26" ht="16.5" thickBot="1" x14ac:dyDescent="0.3">
      <c r="A24" s="245"/>
      <c r="B24" s="245"/>
      <c r="C24" s="262" t="s">
        <v>109</v>
      </c>
      <c r="D24" s="263"/>
      <c r="E24" s="264">
        <f t="shared" si="0"/>
        <v>0</v>
      </c>
      <c r="F24" s="264">
        <f t="shared" si="1"/>
        <v>0.48940199999999995</v>
      </c>
      <c r="G24" s="264">
        <f t="shared" si="2"/>
        <v>1.4252089999999999</v>
      </c>
      <c r="H24" s="264">
        <f t="shared" si="5"/>
        <v>1.699854</v>
      </c>
      <c r="I24" s="267"/>
      <c r="J24" s="265">
        <f t="shared" si="3"/>
        <v>4576.3760459999994</v>
      </c>
      <c r="K24" s="267"/>
      <c r="L24" s="264">
        <f t="shared" si="4"/>
        <v>0</v>
      </c>
      <c r="M24" s="247"/>
      <c r="N24" s="266">
        <f t="shared" si="9"/>
        <v>6.2130000000000001</v>
      </c>
      <c r="O24" s="266"/>
      <c r="P24" s="266">
        <f t="shared" si="7"/>
        <v>0.10639999999999999</v>
      </c>
      <c r="Q24" s="245"/>
      <c r="R24" s="266">
        <f t="shared" si="8"/>
        <v>1.4249999999999998</v>
      </c>
      <c r="S24" s="266"/>
      <c r="T24" s="266"/>
      <c r="U24" s="266"/>
      <c r="V24" s="266"/>
      <c r="W24" s="266">
        <f>1.9*W12</f>
        <v>123.386</v>
      </c>
      <c r="X24" s="245">
        <v>2</v>
      </c>
    </row>
    <row r="25" spans="1:26" ht="16.5" thickBot="1" x14ac:dyDescent="0.3">
      <c r="A25" s="245"/>
      <c r="B25" s="245"/>
      <c r="C25" s="262" t="s">
        <v>110</v>
      </c>
      <c r="D25" s="263"/>
      <c r="E25" s="264">
        <f t="shared" si="0"/>
        <v>0</v>
      </c>
      <c r="F25" s="264">
        <f t="shared" si="1"/>
        <v>0.65242199999999995</v>
      </c>
      <c r="G25" s="264">
        <f t="shared" si="2"/>
        <v>1.8801829999999999</v>
      </c>
      <c r="H25" s="264">
        <f t="shared" si="5"/>
        <v>2.2481940000000002</v>
      </c>
      <c r="I25" s="267"/>
      <c r="J25" s="265">
        <f t="shared" si="3"/>
        <v>5046.1664359999995</v>
      </c>
      <c r="K25" s="267"/>
      <c r="L25" s="264">
        <f t="shared" si="4"/>
        <v>0</v>
      </c>
      <c r="M25" s="247"/>
      <c r="N25" s="266">
        <f t="shared" si="9"/>
        <v>8.36</v>
      </c>
      <c r="O25" s="266"/>
      <c r="P25" s="266">
        <f t="shared" si="7"/>
        <v>0.10639999999999999</v>
      </c>
      <c r="Q25" s="245"/>
      <c r="R25" s="266">
        <f t="shared" si="8"/>
        <v>1.9189999999999998</v>
      </c>
      <c r="S25" s="266"/>
      <c r="T25" s="266"/>
      <c r="U25" s="266"/>
      <c r="V25" s="266"/>
      <c r="W25" s="266">
        <f>1.9*W13</f>
        <v>123.386</v>
      </c>
      <c r="X25" s="245">
        <v>2</v>
      </c>
    </row>
    <row r="26" spans="1:26" ht="16.5" thickBot="1" x14ac:dyDescent="0.3">
      <c r="A26" s="245"/>
      <c r="B26" s="245"/>
      <c r="C26" s="262" t="s">
        <v>111</v>
      </c>
      <c r="D26" s="263"/>
      <c r="E26" s="264">
        <f t="shared" si="0"/>
        <v>0</v>
      </c>
      <c r="F26" s="264">
        <f t="shared" si="1"/>
        <v>0.81544199999999989</v>
      </c>
      <c r="G26" s="264">
        <f t="shared" si="2"/>
        <v>2.3351569999999997</v>
      </c>
      <c r="H26" s="264">
        <f t="shared" si="5"/>
        <v>2.7965340000000003</v>
      </c>
      <c r="I26" s="267"/>
      <c r="J26" s="265">
        <f t="shared" si="3"/>
        <v>6146.442376</v>
      </c>
      <c r="K26" s="267"/>
      <c r="L26" s="264">
        <f t="shared" si="4"/>
        <v>0</v>
      </c>
      <c r="M26" s="247"/>
      <c r="N26" s="266">
        <f t="shared" si="9"/>
        <v>10.507</v>
      </c>
      <c r="O26" s="266"/>
      <c r="P26" s="266">
        <f t="shared" si="7"/>
        <v>0.10639999999999999</v>
      </c>
      <c r="Q26" s="245"/>
      <c r="R26" s="266">
        <f t="shared" si="8"/>
        <v>2.4129999999999998</v>
      </c>
      <c r="S26" s="266"/>
      <c r="T26" s="266"/>
      <c r="U26" s="266"/>
      <c r="V26" s="266"/>
      <c r="W26" s="266">
        <f>1.9*W14</f>
        <v>155.02099999999999</v>
      </c>
      <c r="X26" s="245">
        <v>2</v>
      </c>
    </row>
    <row r="27" spans="1:26" s="35" customFormat="1" ht="16.5" thickBot="1" x14ac:dyDescent="0.3">
      <c r="A27" s="27"/>
      <c r="B27" s="27"/>
      <c r="C27" s="32" t="s">
        <v>99</v>
      </c>
      <c r="D27" s="33"/>
      <c r="E27" s="34">
        <f t="shared" si="0"/>
        <v>0.17055359999999997</v>
      </c>
      <c r="F27" s="34">
        <f t="shared" si="1"/>
        <v>9.9453823999999996E-2</v>
      </c>
      <c r="G27" s="34">
        <f t="shared" si="2"/>
        <v>0.3618486528</v>
      </c>
      <c r="H27" s="264">
        <f t="shared" si="5"/>
        <v>0.308576448</v>
      </c>
      <c r="I27" s="23"/>
      <c r="J27" s="265">
        <f t="shared" si="3"/>
        <v>445.86099423999985</v>
      </c>
      <c r="K27" s="23"/>
      <c r="L27" s="34">
        <f t="shared" si="4"/>
        <v>5.6851199999999992E-3</v>
      </c>
      <c r="M27" s="28"/>
      <c r="N27" s="26">
        <f>(0.88*0.88+4*0.09*0.09*0.8)/2.5</f>
        <v>0.32012799999999997</v>
      </c>
      <c r="O27" s="26">
        <f>2*(0.7+0.7)*0.8*0.09</f>
        <v>0.20159999999999997</v>
      </c>
      <c r="P27" s="26">
        <v>0.06</v>
      </c>
      <c r="Q27" s="27"/>
      <c r="R27" s="26">
        <f>3*N27*2*0.1+0.09*0.09*0.8*4</f>
        <v>0.21799679999999999</v>
      </c>
      <c r="S27" s="26"/>
      <c r="T27" s="26">
        <f>4*(0.7+0.7)/2*0.8</f>
        <v>2.2399999999999998</v>
      </c>
      <c r="U27" s="26"/>
      <c r="V27" s="26"/>
      <c r="W27" s="266">
        <f>40*R27</f>
        <v>8.7198719999999987</v>
      </c>
      <c r="X27" s="27"/>
      <c r="Y27"/>
      <c r="Z27"/>
    </row>
    <row r="28" spans="1:26" ht="16.5" thickBot="1" x14ac:dyDescent="0.3">
      <c r="A28" s="245"/>
      <c r="B28" s="245"/>
      <c r="C28" s="262" t="s">
        <v>100</v>
      </c>
      <c r="D28" s="263"/>
      <c r="E28" s="264">
        <f t="shared" si="0"/>
        <v>0.28019519999999998</v>
      </c>
      <c r="F28" s="264">
        <f t="shared" si="1"/>
        <v>0.14735024000000002</v>
      </c>
      <c r="G28" s="264">
        <f t="shared" si="2"/>
        <v>0.52819569600000005</v>
      </c>
      <c r="H28" s="264">
        <f t="shared" si="5"/>
        <v>0.43353936000000004</v>
      </c>
      <c r="I28" s="267"/>
      <c r="J28" s="265">
        <f t="shared" si="3"/>
        <v>679.67930079999996</v>
      </c>
      <c r="K28" s="267"/>
      <c r="L28" s="264">
        <f t="shared" si="4"/>
        <v>9.3398400000000003E-3</v>
      </c>
      <c r="M28" s="247"/>
      <c r="N28" s="266">
        <f>(1.1*1.1+4*0.09*0.09*1)/2.5</f>
        <v>0.49696000000000007</v>
      </c>
      <c r="O28" s="266">
        <f>2*(0.92+0.92)*1*0.09</f>
        <v>0.33119999999999999</v>
      </c>
      <c r="P28" s="266">
        <v>0.06</v>
      </c>
      <c r="Q28" s="245"/>
      <c r="R28" s="266">
        <f>3*N28*2*0.1+0.09*0.09*1*4</f>
        <v>0.33057600000000004</v>
      </c>
      <c r="S28" s="266"/>
      <c r="T28" s="266">
        <f>4*(0.92+0.92)/2*1</f>
        <v>3.68</v>
      </c>
      <c r="U28" s="266"/>
      <c r="V28" s="266"/>
      <c r="W28" s="266">
        <f t="shared" ref="W28:W31" si="10">40*R28</f>
        <v>13.223040000000001</v>
      </c>
      <c r="X28" s="245"/>
    </row>
    <row r="29" spans="1:26" ht="16.5" thickBot="1" x14ac:dyDescent="0.3">
      <c r="A29" s="245"/>
      <c r="B29" s="245"/>
      <c r="C29" s="262" t="s">
        <v>73</v>
      </c>
      <c r="D29" s="263"/>
      <c r="E29" s="264">
        <f t="shared" si="0"/>
        <v>0.6822144</v>
      </c>
      <c r="F29" s="264">
        <f t="shared" si="1"/>
        <v>0.25613760000000002</v>
      </c>
      <c r="G29" s="264">
        <f t="shared" si="2"/>
        <v>0.95694329600000005</v>
      </c>
      <c r="H29" s="264">
        <f t="shared" si="5"/>
        <v>0.70038336000000012</v>
      </c>
      <c r="I29" s="267"/>
      <c r="J29" s="265">
        <f t="shared" si="3"/>
        <v>1253.0630154666667</v>
      </c>
      <c r="K29" s="267"/>
      <c r="L29" s="264">
        <f t="shared" si="4"/>
        <v>2.274048E-2</v>
      </c>
      <c r="M29" s="247"/>
      <c r="N29" s="266">
        <f>(1.48*1.48+4*0.14*0.14*1.2)/3</f>
        <v>0.76149333333333324</v>
      </c>
      <c r="O29" s="266">
        <f>2*(1.2+1.2)*1.2*0.14</f>
        <v>0.80640000000000001</v>
      </c>
      <c r="P29" s="266">
        <v>0.08</v>
      </c>
      <c r="Q29" s="245"/>
      <c r="R29" s="266">
        <f>3*N29*2*0.1+0.14*0.14*1.2*4</f>
        <v>0.55097600000000002</v>
      </c>
      <c r="S29" s="266"/>
      <c r="T29" s="266">
        <f>4*(1.2+1.2)/2*1.2</f>
        <v>5.76</v>
      </c>
      <c r="U29" s="266"/>
      <c r="V29" s="266"/>
      <c r="W29" s="266">
        <f t="shared" si="10"/>
        <v>22.03904</v>
      </c>
      <c r="X29" s="245"/>
    </row>
    <row r="30" spans="1:26" ht="16.5" thickBot="1" x14ac:dyDescent="0.3">
      <c r="A30" s="245"/>
      <c r="B30" s="245"/>
      <c r="C30" s="262" t="s">
        <v>74</v>
      </c>
      <c r="D30" s="263"/>
      <c r="E30" s="264">
        <f t="shared" si="0"/>
        <v>0.92856959999999988</v>
      </c>
      <c r="F30" s="264">
        <f t="shared" si="1"/>
        <v>0.33109503999999995</v>
      </c>
      <c r="G30" s="264">
        <f t="shared" si="2"/>
        <v>1.2541824319999999</v>
      </c>
      <c r="H30" s="264">
        <f t="shared" si="5"/>
        <v>0.89487311999999997</v>
      </c>
      <c r="I30" s="267"/>
      <c r="J30" s="265">
        <f t="shared" si="3"/>
        <v>1631.845738933333</v>
      </c>
      <c r="K30" s="267"/>
      <c r="L30" s="264">
        <f t="shared" si="4"/>
        <v>3.0952319999999998E-2</v>
      </c>
      <c r="M30" s="247"/>
      <c r="N30" s="266">
        <f>(1.68*1.68+4*0.14*0.14*1.4)/3</f>
        <v>0.97738666666666651</v>
      </c>
      <c r="O30" s="266">
        <f>2*(1.4+1.4)*1.4*0.14</f>
        <v>1.0975999999999999</v>
      </c>
      <c r="P30" s="266">
        <v>0.11</v>
      </c>
      <c r="Q30" s="245"/>
      <c r="R30" s="266">
        <f>3*N30*2*0.1+0.14*0.14*1.4*4</f>
        <v>0.69619199999999992</v>
      </c>
      <c r="S30" s="266"/>
      <c r="T30" s="266">
        <f>4*(1.4+1.4)/2*1.4</f>
        <v>7.839999999999999</v>
      </c>
      <c r="U30" s="266"/>
      <c r="V30" s="266"/>
      <c r="W30" s="266">
        <f t="shared" si="10"/>
        <v>27.847679999999997</v>
      </c>
      <c r="X30" s="245"/>
    </row>
    <row r="31" spans="1:26" ht="16.5" thickBot="1" x14ac:dyDescent="0.3">
      <c r="A31" s="245"/>
      <c r="B31" s="245"/>
      <c r="C31" s="262" t="s">
        <v>75</v>
      </c>
      <c r="D31" s="263"/>
      <c r="E31" s="264">
        <f t="shared" si="0"/>
        <v>1.3189478400000001</v>
      </c>
      <c r="F31" s="264">
        <f t="shared" si="1"/>
        <v>0.45250179200000007</v>
      </c>
      <c r="G31" s="264">
        <f t="shared" si="2"/>
        <v>1.7334338080000002</v>
      </c>
      <c r="H31" s="264">
        <f t="shared" si="5"/>
        <v>1.2150148800000002</v>
      </c>
      <c r="I31" s="267"/>
      <c r="J31" s="265">
        <f t="shared" si="3"/>
        <v>2246.2115170666666</v>
      </c>
      <c r="K31" s="267"/>
      <c r="L31" s="264">
        <f t="shared" si="4"/>
        <v>4.3964928000000007E-2</v>
      </c>
      <c r="M31" s="247"/>
      <c r="N31" s="266">
        <f>(1.98*1.98+4*0.14*0.14*1.6)/3</f>
        <v>1.3486133333333334</v>
      </c>
      <c r="O31" s="266">
        <f>2*(1.7+1.78)*1.6*0.14</f>
        <v>1.5590400000000002</v>
      </c>
      <c r="P31" s="266">
        <v>0.16</v>
      </c>
      <c r="Q31" s="245"/>
      <c r="R31" s="266">
        <f>3*N31*2*0.1+0.14*0.14*1.6*4</f>
        <v>0.93460800000000011</v>
      </c>
      <c r="S31" s="266"/>
      <c r="T31" s="266">
        <f>4*(1.7+1.7)/2*1.6</f>
        <v>10.88</v>
      </c>
      <c r="U31" s="266"/>
      <c r="V31" s="266"/>
      <c r="W31" s="266">
        <f t="shared" si="10"/>
        <v>37.384320000000002</v>
      </c>
      <c r="X31" s="245"/>
    </row>
    <row r="32" spans="1:26" ht="16.5" thickBot="1" x14ac:dyDescent="0.3">
      <c r="A32" s="245"/>
      <c r="B32" s="245"/>
      <c r="C32" s="262" t="s">
        <v>412</v>
      </c>
      <c r="D32" s="263"/>
      <c r="E32" s="264">
        <f t="shared" si="0"/>
        <v>0</v>
      </c>
      <c r="F32" s="264">
        <f t="shared" si="1"/>
        <v>0.1320288</v>
      </c>
      <c r="G32" s="264">
        <f t="shared" si="2"/>
        <v>0.40193856</v>
      </c>
      <c r="H32" s="264">
        <f t="shared" si="5"/>
        <v>0.47436960000000006</v>
      </c>
      <c r="I32" s="267"/>
      <c r="J32" s="265">
        <f t="shared" si="3"/>
        <v>472.87069962666669</v>
      </c>
      <c r="K32" s="267"/>
      <c r="L32" s="264">
        <f t="shared" si="4"/>
        <v>0</v>
      </c>
      <c r="M32" s="247"/>
      <c r="N32" s="266">
        <f>N37/2</f>
        <v>0.94933333333333358</v>
      </c>
      <c r="O32" s="266"/>
      <c r="P32" s="266">
        <v>0.06</v>
      </c>
      <c r="Q32" s="245"/>
      <c r="R32" s="266">
        <f>(4*0.8*0.12*(0.7+0.88)/2+(0.8*0.8)*0.1)</f>
        <v>0.36736000000000002</v>
      </c>
      <c r="S32" s="266"/>
      <c r="T32" s="266"/>
      <c r="U32" s="266"/>
      <c r="V32" s="266"/>
      <c r="W32" s="266">
        <f>W27</f>
        <v>8.7198719999999987</v>
      </c>
      <c r="X32" s="245"/>
    </row>
    <row r="33" spans="1:24" ht="16.5" thickBot="1" x14ac:dyDescent="0.3">
      <c r="A33" s="245"/>
      <c r="B33" s="245"/>
      <c r="C33" s="262" t="s">
        <v>413</v>
      </c>
      <c r="D33" s="263"/>
      <c r="E33" s="264">
        <f t="shared" si="0"/>
        <v>0</v>
      </c>
      <c r="F33" s="264">
        <f t="shared" si="1"/>
        <v>0.20444730000000003</v>
      </c>
      <c r="G33" s="264">
        <f t="shared" si="2"/>
        <v>0.60405201000000008</v>
      </c>
      <c r="H33" s="264">
        <f t="shared" si="5"/>
        <v>0.71795910000000007</v>
      </c>
      <c r="I33" s="267"/>
      <c r="J33" s="265">
        <f t="shared" si="3"/>
        <v>727.42920736666667</v>
      </c>
      <c r="K33" s="267"/>
      <c r="L33" s="264">
        <f t="shared" si="4"/>
        <v>0</v>
      </c>
      <c r="M33" s="247"/>
      <c r="N33" s="266">
        <f>N38/2</f>
        <v>1.5166833333333332</v>
      </c>
      <c r="O33" s="266"/>
      <c r="P33" s="266">
        <v>0.06</v>
      </c>
      <c r="Q33" s="245"/>
      <c r="R33" s="266">
        <f>(4*1*0.12*(0.92+1.1)/2+(1.01*1.01)*0.1)</f>
        <v>0.58681000000000005</v>
      </c>
      <c r="S33" s="266"/>
      <c r="T33" s="266"/>
      <c r="U33" s="266"/>
      <c r="V33" s="266"/>
      <c r="W33" s="266">
        <f>W28</f>
        <v>13.223040000000001</v>
      </c>
      <c r="X33" s="245"/>
    </row>
    <row r="34" spans="1:24" ht="16.5" thickBot="1" x14ac:dyDescent="0.3">
      <c r="A34" s="245"/>
      <c r="B34" s="245"/>
      <c r="C34" s="262" t="s">
        <v>414</v>
      </c>
      <c r="D34" s="263"/>
      <c r="E34" s="264">
        <f t="shared" si="0"/>
        <v>0</v>
      </c>
      <c r="F34" s="264">
        <f t="shared" si="1"/>
        <v>0.38327894999999995</v>
      </c>
      <c r="G34" s="264">
        <f t="shared" si="2"/>
        <v>1.1143076149999998</v>
      </c>
      <c r="H34" s="264">
        <f t="shared" si="5"/>
        <v>1.3295746499999999</v>
      </c>
      <c r="I34" s="267"/>
      <c r="J34" s="265">
        <f t="shared" si="3"/>
        <v>1258.9916435333332</v>
      </c>
      <c r="K34" s="267"/>
      <c r="L34" s="264">
        <f t="shared" si="4"/>
        <v>0</v>
      </c>
      <c r="M34" s="247"/>
      <c r="N34" s="266">
        <f>N39/2</f>
        <v>2.4432666666666667</v>
      </c>
      <c r="O34" s="266"/>
      <c r="P34" s="266">
        <v>0.08</v>
      </c>
      <c r="Q34" s="245"/>
      <c r="R34" s="266">
        <f>(4*1.2*0.15*(1.2+1.48)/2+(1.01*1.01)*0.15)</f>
        <v>1.1178149999999998</v>
      </c>
      <c r="S34" s="266"/>
      <c r="T34" s="266"/>
      <c r="U34" s="266"/>
      <c r="V34" s="266"/>
      <c r="W34" s="266">
        <f>W29</f>
        <v>22.03904</v>
      </c>
      <c r="X34" s="245"/>
    </row>
    <row r="35" spans="1:24" ht="16.5" thickBot="1" x14ac:dyDescent="0.3">
      <c r="A35" s="245"/>
      <c r="B35" s="245"/>
      <c r="C35" s="262" t="s">
        <v>415</v>
      </c>
      <c r="D35" s="263"/>
      <c r="E35" s="264">
        <f t="shared" si="0"/>
        <v>0</v>
      </c>
      <c r="F35" s="264">
        <f t="shared" si="1"/>
        <v>0.56408220000000009</v>
      </c>
      <c r="G35" s="264">
        <f t="shared" si="2"/>
        <v>1.6356421400000001</v>
      </c>
      <c r="H35" s="264">
        <f t="shared" si="5"/>
        <v>1.9528674000000004</v>
      </c>
      <c r="I35" s="267"/>
      <c r="J35" s="265">
        <f t="shared" si="3"/>
        <v>1723.3806070666665</v>
      </c>
      <c r="K35" s="267"/>
      <c r="L35" s="264">
        <f t="shared" si="4"/>
        <v>0</v>
      </c>
      <c r="M35" s="247"/>
      <c r="N35" s="266">
        <f>N40/2</f>
        <v>3.2699333333333329</v>
      </c>
      <c r="O35" s="266"/>
      <c r="P35" s="266">
        <v>0.11</v>
      </c>
      <c r="Q35" s="245"/>
      <c r="R35" s="266">
        <f>(4*1.4*0.15*(1.4+1.68)/2+(1.54*1.54)*0.15)</f>
        <v>1.64934</v>
      </c>
      <c r="S35" s="266"/>
      <c r="T35" s="266"/>
      <c r="U35" s="266"/>
      <c r="V35" s="266"/>
      <c r="W35" s="266">
        <f>W30</f>
        <v>27.847679999999997</v>
      </c>
      <c r="X35" s="245"/>
    </row>
    <row r="36" spans="1:24" ht="16.5" thickBot="1" x14ac:dyDescent="0.3">
      <c r="A36" s="245"/>
      <c r="B36" s="245"/>
      <c r="C36" s="262" t="s">
        <v>416</v>
      </c>
      <c r="D36" s="263"/>
      <c r="E36" s="264">
        <f t="shared" si="0"/>
        <v>0</v>
      </c>
      <c r="F36" s="264">
        <f t="shared" si="1"/>
        <v>0.77929919999999997</v>
      </c>
      <c r="G36" s="264">
        <f t="shared" si="2"/>
        <v>2.26417504</v>
      </c>
      <c r="H36" s="264">
        <f t="shared" si="5"/>
        <v>2.7020064000000001</v>
      </c>
      <c r="I36" s="267"/>
      <c r="J36" s="265">
        <f t="shared" si="3"/>
        <v>2357.1571455999997</v>
      </c>
      <c r="K36" s="267"/>
      <c r="L36" s="264">
        <f t="shared" si="4"/>
        <v>0</v>
      </c>
      <c r="M36" s="247"/>
      <c r="N36" s="266">
        <f>N41/2</f>
        <v>4.4896000000000003</v>
      </c>
      <c r="O36" s="266"/>
      <c r="P36" s="266">
        <v>0.16</v>
      </c>
      <c r="Q36" s="245"/>
      <c r="R36" s="266">
        <f>(4*1.6*0.15*(1.7+1.98)/2+(1.84*1.84)*0.15)</f>
        <v>2.2742399999999998</v>
      </c>
      <c r="S36" s="266"/>
      <c r="T36" s="266"/>
      <c r="U36" s="266"/>
      <c r="V36" s="266"/>
      <c r="W36" s="266">
        <f>W31</f>
        <v>37.384320000000002</v>
      </c>
      <c r="X36" s="245"/>
    </row>
    <row r="37" spans="1:24" ht="16.5" thickBot="1" x14ac:dyDescent="0.3">
      <c r="A37" s="245"/>
      <c r="B37" s="245"/>
      <c r="C37" s="262" t="s">
        <v>417</v>
      </c>
      <c r="D37" s="263"/>
      <c r="E37" s="264">
        <f t="shared" si="0"/>
        <v>0</v>
      </c>
      <c r="F37" s="264">
        <f t="shared" si="1"/>
        <v>0.13625280000000003</v>
      </c>
      <c r="G37" s="264">
        <f t="shared" si="2"/>
        <v>0.41372736000000004</v>
      </c>
      <c r="H37" s="264">
        <f t="shared" si="5"/>
        <v>0.48857760000000011</v>
      </c>
      <c r="I37" s="267"/>
      <c r="J37" s="265">
        <f t="shared" si="3"/>
        <v>980.9584573333334</v>
      </c>
      <c r="K37" s="267"/>
      <c r="L37" s="264">
        <f t="shared" si="4"/>
        <v>0</v>
      </c>
      <c r="M37" s="247"/>
      <c r="N37" s="266">
        <f>(4*0.8*(0.7+0.88)+(0.8*0.8))/3</f>
        <v>1.8986666666666672</v>
      </c>
      <c r="O37" s="266"/>
      <c r="P37" s="266">
        <v>0.06</v>
      </c>
      <c r="Q37" s="245"/>
      <c r="R37" s="266">
        <f>(4*0.8*0.12*(0.7+0.88)/2+(0.8*0.8)*0.12)</f>
        <v>0.38016000000000005</v>
      </c>
      <c r="S37" s="266"/>
      <c r="T37" s="266"/>
      <c r="U37" s="266"/>
      <c r="V37" s="266"/>
      <c r="W37" s="266">
        <f>ROUND(R37*75,2)</f>
        <v>28.51</v>
      </c>
      <c r="X37" s="245"/>
    </row>
    <row r="38" spans="1:24" ht="16.5" thickBot="1" x14ac:dyDescent="0.3">
      <c r="A38" s="245"/>
      <c r="B38" s="245"/>
      <c r="C38" s="262" t="s">
        <v>418</v>
      </c>
      <c r="D38" s="263"/>
      <c r="E38" s="264">
        <f t="shared" si="0"/>
        <v>0</v>
      </c>
      <c r="F38" s="264">
        <f t="shared" si="1"/>
        <v>0.21117996</v>
      </c>
      <c r="G38" s="264">
        <f t="shared" si="2"/>
        <v>0.62284225199999999</v>
      </c>
      <c r="H38" s="264">
        <f t="shared" si="5"/>
        <v>0.74060532000000001</v>
      </c>
      <c r="I38" s="267"/>
      <c r="J38" s="265">
        <f t="shared" si="3"/>
        <v>1553.0878211333334</v>
      </c>
      <c r="K38" s="267"/>
      <c r="L38" s="264">
        <f t="shared" si="4"/>
        <v>0</v>
      </c>
      <c r="M38" s="247"/>
      <c r="N38" s="266">
        <f>(4*1*(0.92+1.1)+(1.01*1.01))/3</f>
        <v>3.0333666666666663</v>
      </c>
      <c r="O38" s="266"/>
      <c r="P38" s="266">
        <v>0.06</v>
      </c>
      <c r="Q38" s="245"/>
      <c r="R38" s="266">
        <f>(4*1*0.12*(0.92+1.1)/2+(1.01*1.01)*0.12)</f>
        <v>0.60721199999999997</v>
      </c>
      <c r="S38" s="266"/>
      <c r="T38" s="266"/>
      <c r="U38" s="266"/>
      <c r="V38" s="266"/>
      <c r="W38" s="266">
        <f t="shared" ref="W38" si="11">ROUND(R38*75,2)</f>
        <v>45.54</v>
      </c>
      <c r="X38" s="245"/>
    </row>
    <row r="39" spans="1:24" ht="16.5" thickBot="1" x14ac:dyDescent="0.3">
      <c r="A39" s="245"/>
      <c r="B39" s="245"/>
      <c r="C39" s="262" t="s">
        <v>419</v>
      </c>
      <c r="D39" s="263"/>
      <c r="E39" s="264">
        <f t="shared" si="0"/>
        <v>0</v>
      </c>
      <c r="F39" s="264">
        <f t="shared" si="1"/>
        <v>0.38327894999999995</v>
      </c>
      <c r="G39" s="264">
        <f t="shared" si="2"/>
        <v>1.1143076149999998</v>
      </c>
      <c r="H39" s="264">
        <f t="shared" si="5"/>
        <v>1.3295746499999999</v>
      </c>
      <c r="I39" s="267"/>
      <c r="J39" s="265">
        <f t="shared" si="3"/>
        <v>2656.7578716666667</v>
      </c>
      <c r="K39" s="267"/>
      <c r="L39" s="264">
        <f t="shared" si="4"/>
        <v>0</v>
      </c>
      <c r="M39" s="247"/>
      <c r="N39" s="266">
        <f>(4*1.2*(1.2+1.48)+(1.34*1.34))/3</f>
        <v>4.8865333333333334</v>
      </c>
      <c r="O39" s="266"/>
      <c r="P39" s="266">
        <v>0.08</v>
      </c>
      <c r="Q39" s="245"/>
      <c r="R39" s="266">
        <f>(4*1.2*0.15*(1.2+1.48)/2+(1.01*1.01)*0.15)</f>
        <v>1.1178149999999998</v>
      </c>
      <c r="S39" s="266"/>
      <c r="T39" s="266"/>
      <c r="U39" s="266"/>
      <c r="V39" s="266"/>
      <c r="W39" s="266">
        <f>ROUND(R39*70,2)</f>
        <v>78.25</v>
      </c>
      <c r="X39" s="245"/>
    </row>
    <row r="40" spans="1:24" ht="16.5" thickBot="1" x14ac:dyDescent="0.3">
      <c r="A40" s="245"/>
      <c r="B40" s="245"/>
      <c r="C40" s="262" t="s">
        <v>420</v>
      </c>
      <c r="D40" s="263"/>
      <c r="E40" s="264">
        <f t="shared" si="0"/>
        <v>0</v>
      </c>
      <c r="F40" s="264">
        <f t="shared" si="1"/>
        <v>0.56408220000000009</v>
      </c>
      <c r="G40" s="264">
        <f t="shared" si="2"/>
        <v>1.6356421400000001</v>
      </c>
      <c r="H40" s="264">
        <f t="shared" si="5"/>
        <v>1.9528674000000004</v>
      </c>
      <c r="I40" s="267"/>
      <c r="J40" s="265">
        <f t="shared" si="3"/>
        <v>3840.6611733333334</v>
      </c>
      <c r="K40" s="267"/>
      <c r="L40" s="264">
        <f t="shared" si="4"/>
        <v>0</v>
      </c>
      <c r="M40" s="247"/>
      <c r="N40" s="266">
        <f>(4*1.4*(1.4+1.68)+(1.54*1.54))/3</f>
        <v>6.5398666666666658</v>
      </c>
      <c r="O40" s="266"/>
      <c r="P40" s="266">
        <v>0.11</v>
      </c>
      <c r="Q40" s="245"/>
      <c r="R40" s="266">
        <f>(4*1.4*0.15*(1.4+1.68)/2+(1.54*1.54)*0.15)</f>
        <v>1.64934</v>
      </c>
      <c r="S40" s="266"/>
      <c r="T40" s="266"/>
      <c r="U40" s="266"/>
      <c r="V40" s="266"/>
      <c r="W40" s="266">
        <f t="shared" ref="W40:W43" si="12">ROUND(R40*70,2)</f>
        <v>115.45</v>
      </c>
      <c r="X40" s="245"/>
    </row>
    <row r="41" spans="1:24" ht="16.5" thickBot="1" x14ac:dyDescent="0.3">
      <c r="A41" s="245"/>
      <c r="B41" s="245"/>
      <c r="C41" s="262" t="s">
        <v>421</v>
      </c>
      <c r="D41" s="263"/>
      <c r="E41" s="264">
        <f t="shared" si="0"/>
        <v>0</v>
      </c>
      <c r="F41" s="264">
        <f t="shared" si="1"/>
        <v>0.77929919999999997</v>
      </c>
      <c r="G41" s="264">
        <f t="shared" si="2"/>
        <v>2.26417504</v>
      </c>
      <c r="H41" s="264">
        <f t="shared" si="5"/>
        <v>2.7020064000000001</v>
      </c>
      <c r="I41" s="267"/>
      <c r="J41" s="265">
        <f t="shared" si="3"/>
        <v>5294.8275199999998</v>
      </c>
      <c r="K41" s="267"/>
      <c r="L41" s="264">
        <f t="shared" si="4"/>
        <v>0</v>
      </c>
      <c r="M41" s="247"/>
      <c r="N41" s="266">
        <f>(4*1.6*(1.7+1.98)+(1.84*1.84))/3</f>
        <v>8.9792000000000005</v>
      </c>
      <c r="O41" s="266"/>
      <c r="P41" s="266">
        <v>0.16</v>
      </c>
      <c r="Q41" s="245"/>
      <c r="R41" s="266">
        <f>(4*1.6*0.15*(1.7+1.98)/2+(1.84*1.84)*0.15)</f>
        <v>2.2742399999999998</v>
      </c>
      <c r="S41" s="266"/>
      <c r="T41" s="266"/>
      <c r="U41" s="266"/>
      <c r="V41" s="266"/>
      <c r="W41" s="266">
        <f t="shared" si="12"/>
        <v>159.19999999999999</v>
      </c>
      <c r="X41" s="245"/>
    </row>
    <row r="42" spans="1:24" ht="16.5" thickBot="1" x14ac:dyDescent="0.3">
      <c r="A42" s="245"/>
      <c r="B42" s="245"/>
      <c r="C42" s="262" t="s">
        <v>422</v>
      </c>
      <c r="D42" s="263"/>
      <c r="E42" s="264">
        <f t="shared" si="0"/>
        <v>0</v>
      </c>
      <c r="F42" s="264">
        <f t="shared" si="1"/>
        <v>1.2096229499999998</v>
      </c>
      <c r="G42" s="264">
        <f t="shared" si="2"/>
        <v>3.5097804149999998</v>
      </c>
      <c r="H42" s="264">
        <f t="shared" si="5"/>
        <v>4.18982265</v>
      </c>
      <c r="I42" s="267"/>
      <c r="J42" s="265">
        <f t="shared" si="3"/>
        <v>7829.9574102499992</v>
      </c>
      <c r="K42" s="267"/>
      <c r="L42" s="264">
        <f t="shared" si="4"/>
        <v>0</v>
      </c>
      <c r="M42" s="247"/>
      <c r="N42" s="266">
        <f>(4*2*(2.1+2.48)+(2.29*2.29))/4</f>
        <v>10.471025000000001</v>
      </c>
      <c r="O42" s="266"/>
      <c r="P42" s="266">
        <v>0.24</v>
      </c>
      <c r="Q42" s="245"/>
      <c r="R42" s="266">
        <f>(4*2*0.15*(2.1+2.48)/2+(2.29*2.29)*0.15)</f>
        <v>3.5346149999999996</v>
      </c>
      <c r="S42" s="266"/>
      <c r="T42" s="266"/>
      <c r="U42" s="266"/>
      <c r="V42" s="266"/>
      <c r="W42" s="266">
        <f t="shared" si="12"/>
        <v>247.42</v>
      </c>
      <c r="X42" s="245"/>
    </row>
    <row r="43" spans="1:24" ht="16.5" thickBot="1" x14ac:dyDescent="0.3">
      <c r="A43" s="245"/>
      <c r="B43" s="245"/>
      <c r="C43" s="262" t="s">
        <v>423</v>
      </c>
      <c r="D43" s="263"/>
      <c r="E43" s="264">
        <f t="shared" si="0"/>
        <v>0</v>
      </c>
      <c r="F43" s="264">
        <f t="shared" si="1"/>
        <v>1.9087789500000001</v>
      </c>
      <c r="G43" s="264">
        <f t="shared" si="2"/>
        <v>5.5279776150000002</v>
      </c>
      <c r="H43" s="264">
        <f t="shared" si="5"/>
        <v>6.6020746500000005</v>
      </c>
      <c r="I43" s="267"/>
      <c r="J43" s="265">
        <f t="shared" si="3"/>
        <v>12369.133980250001</v>
      </c>
      <c r="K43" s="267"/>
      <c r="L43" s="264">
        <f t="shared" si="4"/>
        <v>0</v>
      </c>
      <c r="M43" s="247"/>
      <c r="N43" s="266">
        <f>(4*2.5*(2.7+3.08)+(2.89*2.89))/4</f>
        <v>16.538025000000001</v>
      </c>
      <c r="O43" s="266"/>
      <c r="P43" s="266">
        <v>0.36</v>
      </c>
      <c r="Q43" s="245"/>
      <c r="R43" s="266">
        <f>(4*2.5*0.15*(2.7+3.08)/2+(2.89*2.89)*0.15)</f>
        <v>5.587815</v>
      </c>
      <c r="S43" s="266"/>
      <c r="T43" s="266"/>
      <c r="U43" s="266"/>
      <c r="V43" s="266"/>
      <c r="W43" s="266">
        <f t="shared" si="12"/>
        <v>391.15</v>
      </c>
      <c r="X43" s="245"/>
    </row>
    <row r="44" spans="1:24" ht="16.5" thickBot="1" x14ac:dyDescent="0.3">
      <c r="A44" s="245"/>
      <c r="B44" s="245"/>
      <c r="C44" s="262" t="s">
        <v>145</v>
      </c>
      <c r="D44" s="263"/>
      <c r="E44" s="264">
        <f t="shared" si="0"/>
        <v>0.54144000000000003</v>
      </c>
      <c r="F44" s="264">
        <f t="shared" si="1"/>
        <v>0.35276220000000008</v>
      </c>
      <c r="G44" s="264">
        <f t="shared" si="2"/>
        <v>1.1888125000000003</v>
      </c>
      <c r="H44" s="264">
        <f t="shared" si="5"/>
        <v>1.1100000000000001</v>
      </c>
      <c r="I44" s="267">
        <v>1</v>
      </c>
      <c r="J44" s="265">
        <f t="shared" si="3"/>
        <v>2236.6139680000001</v>
      </c>
      <c r="K44" s="267">
        <v>1</v>
      </c>
      <c r="L44" s="264">
        <f t="shared" si="4"/>
        <v>1.8048000000000002E-2</v>
      </c>
      <c r="M44" s="247"/>
      <c r="N44" s="266">
        <f>ROUND((4.9+2*0.5)/5,2)</f>
        <v>1.18</v>
      </c>
      <c r="O44" s="266">
        <f>ROUND((1.285*0.5),2)</f>
        <v>0.64</v>
      </c>
      <c r="P44" s="266">
        <v>0.1</v>
      </c>
      <c r="Q44" s="245"/>
      <c r="R44" s="266">
        <f>ROUND((0.8 +0.205 *0.5),2)</f>
        <v>0.9</v>
      </c>
      <c r="S44" s="266"/>
      <c r="T44" s="266">
        <f>ROUND((0.12 *0.5),2)</f>
        <v>0.06</v>
      </c>
      <c r="U44" s="266"/>
      <c r="V44" s="266"/>
      <c r="W44" s="266">
        <f>ROUND((21.07 +8.54 *0.5),2)</f>
        <v>25.34</v>
      </c>
      <c r="X44" s="245"/>
    </row>
    <row r="45" spans="1:24" ht="16.5" thickBot="1" x14ac:dyDescent="0.3">
      <c r="A45" s="245"/>
      <c r="B45" s="245"/>
      <c r="C45" s="262" t="s">
        <v>146</v>
      </c>
      <c r="D45" s="263"/>
      <c r="E45" s="264">
        <f t="shared" si="0"/>
        <v>0.76139999999999997</v>
      </c>
      <c r="F45" s="264">
        <f t="shared" si="1"/>
        <v>0.38489359999999995</v>
      </c>
      <c r="G45" s="264">
        <f t="shared" si="2"/>
        <v>1.3499699999999999</v>
      </c>
      <c r="H45" s="264">
        <f t="shared" si="5"/>
        <v>1.1766000000000001</v>
      </c>
      <c r="I45" s="267">
        <v>1</v>
      </c>
      <c r="J45" s="265">
        <f t="shared" si="3"/>
        <v>2445.2237239999995</v>
      </c>
      <c r="K45" s="267">
        <v>1</v>
      </c>
      <c r="L45" s="264">
        <f t="shared" si="4"/>
        <v>2.538E-2</v>
      </c>
      <c r="M45" s="247"/>
      <c r="N45" s="266">
        <f>ROUND((4.9+2*0.7)/5,2)</f>
        <v>1.26</v>
      </c>
      <c r="O45" s="266">
        <f>ROUND((1.285*0.7),2)</f>
        <v>0.9</v>
      </c>
      <c r="P45" s="266">
        <v>0.12</v>
      </c>
      <c r="Q45" s="245"/>
      <c r="R45" s="266">
        <f>ROUND((0.8 +0.205 *0.7),2)</f>
        <v>0.94</v>
      </c>
      <c r="S45" s="266"/>
      <c r="T45" s="266">
        <f>ROUND((0.12 *0.7),2)</f>
        <v>0.08</v>
      </c>
      <c r="U45" s="266"/>
      <c r="V45" s="266"/>
      <c r="W45" s="266">
        <f>ROUND((21.07 +8.54 *0.7),2)</f>
        <v>27.05</v>
      </c>
      <c r="X45" s="245"/>
    </row>
    <row r="46" spans="1:24" ht="16.5" thickBot="1" x14ac:dyDescent="0.3">
      <c r="A46" s="245"/>
      <c r="B46" s="245"/>
      <c r="C46" s="262" t="s">
        <v>147</v>
      </c>
      <c r="D46" s="263"/>
      <c r="E46" s="264">
        <f t="shared" si="0"/>
        <v>1.09134</v>
      </c>
      <c r="F46" s="264">
        <f t="shared" si="1"/>
        <v>0.43281240000000004</v>
      </c>
      <c r="G46" s="264">
        <f t="shared" si="2"/>
        <v>1.5797950000000001</v>
      </c>
      <c r="H46" s="264">
        <f t="shared" si="5"/>
        <v>1.2654000000000003</v>
      </c>
      <c r="I46" s="267">
        <v>1</v>
      </c>
      <c r="J46" s="265">
        <f t="shared" si="3"/>
        <v>2754.8879360000001</v>
      </c>
      <c r="K46" s="267">
        <v>1</v>
      </c>
      <c r="L46" s="264">
        <f t="shared" si="4"/>
        <v>3.6378000000000001E-2</v>
      </c>
      <c r="M46" s="247"/>
      <c r="N46" s="266">
        <f>ROUND((4.9+2*1)/5,2)</f>
        <v>1.38</v>
      </c>
      <c r="O46" s="266">
        <f>ROUND((1.285*1),2)</f>
        <v>1.29</v>
      </c>
      <c r="P46" s="266">
        <v>0.13</v>
      </c>
      <c r="Q46" s="245">
        <f>(Q45+Q47)/2</f>
        <v>0</v>
      </c>
      <c r="R46" s="266">
        <f>ROUND((0.8 +0.205 *1),2)</f>
        <v>1.01</v>
      </c>
      <c r="S46" s="266"/>
      <c r="T46" s="266">
        <f>ROUND((0.12 *1),2)</f>
        <v>0.12</v>
      </c>
      <c r="U46" s="266"/>
      <c r="V46" s="266"/>
      <c r="W46" s="266">
        <f>ROUND((21.07 +8.54 *1),2)</f>
        <v>29.61</v>
      </c>
      <c r="X46" s="245"/>
    </row>
    <row r="47" spans="1:24" ht="16.5" thickBot="1" x14ac:dyDescent="0.3">
      <c r="A47" s="245"/>
      <c r="B47" s="245"/>
      <c r="C47" s="262" t="s">
        <v>148</v>
      </c>
      <c r="D47" s="263"/>
      <c r="E47" s="264">
        <f t="shared" si="0"/>
        <v>1.30284</v>
      </c>
      <c r="F47" s="264">
        <f t="shared" si="1"/>
        <v>0.46255580000000002</v>
      </c>
      <c r="G47" s="264">
        <f t="shared" si="2"/>
        <v>1.7263925000000002</v>
      </c>
      <c r="H47" s="264">
        <f t="shared" si="5"/>
        <v>1.3209000000000002</v>
      </c>
      <c r="I47" s="267">
        <v>1</v>
      </c>
      <c r="J47" s="265">
        <f t="shared" si="3"/>
        <v>2954.2647919999999</v>
      </c>
      <c r="K47" s="267">
        <v>1</v>
      </c>
      <c r="L47" s="264">
        <f t="shared" si="4"/>
        <v>4.3428000000000001E-2</v>
      </c>
      <c r="M47" s="247"/>
      <c r="N47" s="266">
        <f>ROUND((4.9+2*1.2)/5,2)</f>
        <v>1.46</v>
      </c>
      <c r="O47" s="266">
        <f>ROUND((1.285*1.2),2)</f>
        <v>1.54</v>
      </c>
      <c r="P47" s="266">
        <v>0.14000000000000001</v>
      </c>
      <c r="Q47" s="245"/>
      <c r="R47" s="266">
        <f>ROUND((0.8 +0.205 *1.2),2)</f>
        <v>1.05</v>
      </c>
      <c r="S47" s="266"/>
      <c r="T47" s="266">
        <f>ROUND((0.12 *1.2),2)</f>
        <v>0.14000000000000001</v>
      </c>
      <c r="U47" s="266"/>
      <c r="V47" s="266"/>
      <c r="W47" s="266">
        <f>ROUND((21.07 +8.54 *1.2),2)</f>
        <v>31.32</v>
      </c>
      <c r="X47" s="245"/>
    </row>
    <row r="48" spans="1:24" ht="16.5" thickBot="1" x14ac:dyDescent="0.3">
      <c r="A48" s="245"/>
      <c r="B48" s="245"/>
      <c r="C48" s="262" t="s">
        <v>149</v>
      </c>
      <c r="D48" s="263"/>
      <c r="E48" s="264">
        <f t="shared" si="0"/>
        <v>1.6327799999999999</v>
      </c>
      <c r="F48" s="264">
        <f t="shared" si="1"/>
        <v>0.50537460000000012</v>
      </c>
      <c r="G48" s="264">
        <f t="shared" si="2"/>
        <v>1.9364075000000001</v>
      </c>
      <c r="H48" s="264">
        <f t="shared" si="5"/>
        <v>1.3875000000000002</v>
      </c>
      <c r="I48" s="267">
        <v>1</v>
      </c>
      <c r="J48" s="265">
        <f t="shared" si="3"/>
        <v>3255.4821039999997</v>
      </c>
      <c r="K48" s="267">
        <v>1</v>
      </c>
      <c r="L48" s="264">
        <f t="shared" si="4"/>
        <v>5.4425999999999995E-2</v>
      </c>
      <c r="M48" s="247"/>
      <c r="N48" s="266">
        <f>ROUND((4.9+2*1.5)/5,2)</f>
        <v>1.58</v>
      </c>
      <c r="O48" s="266">
        <f>ROUND((1.285*1.5),2)</f>
        <v>1.93</v>
      </c>
      <c r="P48" s="266">
        <v>0.14000000000000001</v>
      </c>
      <c r="Q48" s="245"/>
      <c r="R48" s="266">
        <f>ROUND((0.8 +0.205 *1.5),2)</f>
        <v>1.1100000000000001</v>
      </c>
      <c r="S48" s="266"/>
      <c r="T48" s="266">
        <f>ROUND((0.12 *1.5),2)</f>
        <v>0.18</v>
      </c>
      <c r="U48" s="266"/>
      <c r="V48" s="266"/>
      <c r="W48" s="266">
        <f>ROUND((21.07 +8.54 *1.5),2)</f>
        <v>33.880000000000003</v>
      </c>
      <c r="X48" s="245"/>
    </row>
    <row r="49" spans="1:24" ht="16.5" thickBot="1" x14ac:dyDescent="0.3">
      <c r="A49" s="245"/>
      <c r="B49" s="245"/>
      <c r="C49" s="262" t="s">
        <v>150</v>
      </c>
      <c r="D49" s="263"/>
      <c r="E49" s="264">
        <f t="shared" si="0"/>
        <v>0</v>
      </c>
      <c r="F49" s="264">
        <f t="shared" si="1"/>
        <v>0.38250000000000006</v>
      </c>
      <c r="G49" s="264">
        <f t="shared" si="2"/>
        <v>1.1483800000000002</v>
      </c>
      <c r="H49" s="264">
        <f t="shared" si="5"/>
        <v>1.35975</v>
      </c>
      <c r="I49" s="267">
        <v>1</v>
      </c>
      <c r="J49" s="265">
        <f t="shared" si="3"/>
        <v>1476.2567999999999</v>
      </c>
      <c r="K49" s="267">
        <v>1</v>
      </c>
      <c r="L49" s="264">
        <f t="shared" si="4"/>
        <v>0</v>
      </c>
      <c r="M49" s="247"/>
      <c r="N49" s="266">
        <f>N54/2</f>
        <v>1.075</v>
      </c>
      <c r="O49" s="266"/>
      <c r="P49" s="266">
        <f>P54</f>
        <v>0.14499999999999999</v>
      </c>
      <c r="Q49" s="245"/>
      <c r="R49" s="266">
        <f>R54</f>
        <v>1.08</v>
      </c>
      <c r="S49" s="266"/>
      <c r="T49" s="266"/>
      <c r="U49" s="266"/>
      <c r="V49" s="266"/>
      <c r="W49" s="266"/>
      <c r="X49" s="245"/>
    </row>
    <row r="50" spans="1:24" ht="16.5" thickBot="1" x14ac:dyDescent="0.3">
      <c r="A50" s="245"/>
      <c r="B50" s="245"/>
      <c r="C50" s="262" t="s">
        <v>151</v>
      </c>
      <c r="D50" s="263"/>
      <c r="E50" s="264">
        <f t="shared" si="0"/>
        <v>0</v>
      </c>
      <c r="F50" s="264">
        <f t="shared" si="1"/>
        <v>0.43200000000000005</v>
      </c>
      <c r="G50" s="264">
        <f t="shared" si="2"/>
        <v>1.28653</v>
      </c>
      <c r="H50" s="264">
        <f t="shared" si="5"/>
        <v>1.5262500000000001</v>
      </c>
      <c r="I50" s="267">
        <v>1</v>
      </c>
      <c r="J50" s="265">
        <f t="shared" si="3"/>
        <v>1573.2592999999999</v>
      </c>
      <c r="K50" s="267">
        <v>1</v>
      </c>
      <c r="L50" s="264">
        <f t="shared" si="4"/>
        <v>0</v>
      </c>
      <c r="M50" s="247"/>
      <c r="N50" s="266">
        <f>N55/2</f>
        <v>1.325</v>
      </c>
      <c r="O50" s="266"/>
      <c r="P50" s="266">
        <f>P55</f>
        <v>0.14499999999999999</v>
      </c>
      <c r="Q50" s="245"/>
      <c r="R50" s="266">
        <f>R55</f>
        <v>1.23</v>
      </c>
      <c r="S50" s="266"/>
      <c r="T50" s="266"/>
      <c r="U50" s="266"/>
      <c r="V50" s="266"/>
      <c r="W50" s="266"/>
      <c r="X50" s="245"/>
    </row>
    <row r="51" spans="1:24" ht="16.5" thickBot="1" x14ac:dyDescent="0.3">
      <c r="A51" s="245"/>
      <c r="B51" s="245"/>
      <c r="C51" s="262" t="s">
        <v>152</v>
      </c>
      <c r="D51" s="263"/>
      <c r="E51" s="264">
        <f t="shared" si="0"/>
        <v>0</v>
      </c>
      <c r="F51" s="264">
        <f t="shared" si="1"/>
        <v>0.50459999999999994</v>
      </c>
      <c r="G51" s="264">
        <f t="shared" si="2"/>
        <v>1.48915</v>
      </c>
      <c r="H51" s="264">
        <f t="shared" si="5"/>
        <v>1.7704500000000001</v>
      </c>
      <c r="I51" s="267">
        <v>1</v>
      </c>
      <c r="J51" s="265">
        <f t="shared" si="3"/>
        <v>1716.47605</v>
      </c>
      <c r="K51" s="267">
        <v>1</v>
      </c>
      <c r="L51" s="264">
        <f t="shared" si="4"/>
        <v>0</v>
      </c>
      <c r="M51" s="247"/>
      <c r="N51" s="266">
        <f>N56/2</f>
        <v>1.7</v>
      </c>
      <c r="O51" s="266">
        <f>(O50+O52)/2</f>
        <v>0</v>
      </c>
      <c r="P51" s="266">
        <f>P56</f>
        <v>0.14499999999999999</v>
      </c>
      <c r="Q51" s="245">
        <f>(Q50+Q52)/2</f>
        <v>0</v>
      </c>
      <c r="R51" s="266">
        <f>R56</f>
        <v>1.45</v>
      </c>
      <c r="S51" s="266"/>
      <c r="T51" s="266">
        <f>(T50+T52)/2</f>
        <v>0</v>
      </c>
      <c r="U51" s="266"/>
      <c r="V51" s="266"/>
      <c r="W51" s="266"/>
      <c r="X51" s="245"/>
    </row>
    <row r="52" spans="1:24" ht="16.5" thickBot="1" x14ac:dyDescent="0.3">
      <c r="A52" s="245"/>
      <c r="B52" s="245"/>
      <c r="C52" s="262" t="s">
        <v>153</v>
      </c>
      <c r="D52" s="263"/>
      <c r="E52" s="264">
        <f t="shared" si="0"/>
        <v>0</v>
      </c>
      <c r="F52" s="264">
        <f t="shared" si="1"/>
        <v>0.6411</v>
      </c>
      <c r="G52" s="264">
        <f t="shared" si="2"/>
        <v>1.8840500000000002</v>
      </c>
      <c r="H52" s="264">
        <f t="shared" si="5"/>
        <v>2.2422</v>
      </c>
      <c r="I52" s="267">
        <v>1</v>
      </c>
      <c r="J52" s="265">
        <f t="shared" si="3"/>
        <v>1931.8323</v>
      </c>
      <c r="K52" s="267">
        <v>1</v>
      </c>
      <c r="L52" s="264">
        <f t="shared" si="4"/>
        <v>0</v>
      </c>
      <c r="M52" s="247"/>
      <c r="N52" s="266">
        <f>N57/2</f>
        <v>1.9</v>
      </c>
      <c r="O52" s="266"/>
      <c r="P52" s="266">
        <f>P57</f>
        <v>0.17</v>
      </c>
      <c r="Q52" s="245"/>
      <c r="R52" s="266">
        <f>R57</f>
        <v>1.85</v>
      </c>
      <c r="S52" s="266"/>
      <c r="T52" s="266"/>
      <c r="U52" s="266"/>
      <c r="V52" s="266"/>
      <c r="W52" s="266"/>
      <c r="X52" s="245"/>
    </row>
    <row r="53" spans="1:24" ht="16.5" thickBot="1" x14ac:dyDescent="0.3">
      <c r="A53" s="245"/>
      <c r="B53" s="245"/>
      <c r="C53" s="262" t="s">
        <v>154</v>
      </c>
      <c r="D53" s="263"/>
      <c r="E53" s="264">
        <f t="shared" si="0"/>
        <v>0</v>
      </c>
      <c r="F53" s="264">
        <f t="shared" si="1"/>
        <v>0.80657999999999996</v>
      </c>
      <c r="G53" s="264">
        <f t="shared" si="2"/>
        <v>2.3575999999999997</v>
      </c>
      <c r="H53" s="264">
        <f t="shared" si="5"/>
        <v>2.8094099999999997</v>
      </c>
      <c r="I53" s="267">
        <v>1</v>
      </c>
      <c r="J53" s="265">
        <f t="shared" si="3"/>
        <v>2185.6696899999997</v>
      </c>
      <c r="K53" s="267">
        <v>1</v>
      </c>
      <c r="L53" s="264">
        <f t="shared" si="4"/>
        <v>0</v>
      </c>
      <c r="M53" s="247"/>
      <c r="N53" s="266">
        <f>N58/2</f>
        <v>2.09</v>
      </c>
      <c r="O53" s="266"/>
      <c r="P53" s="266">
        <f>P58</f>
        <v>0.191</v>
      </c>
      <c r="Q53" s="245"/>
      <c r="R53" s="266">
        <f>R58</f>
        <v>2.34</v>
      </c>
      <c r="S53" s="266"/>
      <c r="T53" s="266"/>
      <c r="U53" s="266"/>
      <c r="V53" s="266"/>
      <c r="W53" s="266"/>
      <c r="X53" s="245"/>
    </row>
    <row r="54" spans="1:24" ht="16.5" thickBot="1" x14ac:dyDescent="0.3">
      <c r="A54" s="245"/>
      <c r="B54" s="245"/>
      <c r="C54" s="262" t="s">
        <v>155</v>
      </c>
      <c r="D54" s="263"/>
      <c r="E54" s="264">
        <f t="shared" si="0"/>
        <v>0</v>
      </c>
      <c r="F54" s="264">
        <f t="shared" si="1"/>
        <v>0.38250000000000006</v>
      </c>
      <c r="G54" s="264">
        <f t="shared" si="2"/>
        <v>1.1483800000000002</v>
      </c>
      <c r="H54" s="264">
        <f t="shared" si="5"/>
        <v>1.35975</v>
      </c>
      <c r="I54" s="267">
        <v>1</v>
      </c>
      <c r="J54" s="265">
        <f t="shared" si="3"/>
        <v>3263.2568899999997</v>
      </c>
      <c r="K54" s="267">
        <v>1</v>
      </c>
      <c r="L54" s="264">
        <f t="shared" si="4"/>
        <v>0</v>
      </c>
      <c r="M54" s="247"/>
      <c r="N54" s="266">
        <f>ROUND((3.59+10*0.5)/4,2)</f>
        <v>2.15</v>
      </c>
      <c r="O54" s="266"/>
      <c r="P54" s="266">
        <v>0.14499999999999999</v>
      </c>
      <c r="Q54" s="245"/>
      <c r="R54" s="266">
        <f>ROUND((0.704 +0.75 *0.5),2)</f>
        <v>1.08</v>
      </c>
      <c r="S54" s="266"/>
      <c r="T54" s="266"/>
      <c r="U54" s="266"/>
      <c r="V54" s="266"/>
      <c r="W54" s="266">
        <f t="shared" ref="W54:W60" si="13">R54*77.35</f>
        <v>83.537999999999997</v>
      </c>
      <c r="X54" s="245"/>
    </row>
    <row r="55" spans="1:24" ht="16.5" thickBot="1" x14ac:dyDescent="0.3">
      <c r="A55" s="245"/>
      <c r="B55" s="245"/>
      <c r="C55" s="262" t="s">
        <v>156</v>
      </c>
      <c r="D55" s="263"/>
      <c r="E55" s="264">
        <f t="shared" si="0"/>
        <v>0</v>
      </c>
      <c r="F55" s="264">
        <f t="shared" si="1"/>
        <v>0.43200000000000005</v>
      </c>
      <c r="G55" s="264">
        <f t="shared" si="2"/>
        <v>1.28653</v>
      </c>
      <c r="H55" s="264">
        <f t="shared" si="5"/>
        <v>1.5262500000000001</v>
      </c>
      <c r="I55" s="267">
        <v>1</v>
      </c>
      <c r="J55" s="265">
        <f t="shared" si="3"/>
        <v>3619.8897149999993</v>
      </c>
      <c r="K55" s="267">
        <v>1</v>
      </c>
      <c r="L55" s="264">
        <f t="shared" si="4"/>
        <v>0</v>
      </c>
      <c r="M55" s="247"/>
      <c r="N55" s="266">
        <f>ROUND((3.59+10*0.7)/4,2)</f>
        <v>2.65</v>
      </c>
      <c r="O55" s="266"/>
      <c r="P55" s="266">
        <v>0.14499999999999999</v>
      </c>
      <c r="Q55" s="245"/>
      <c r="R55" s="266">
        <f>ROUND((0.704 +0.75 *0.7),2)</f>
        <v>1.23</v>
      </c>
      <c r="S55" s="266"/>
      <c r="T55" s="266"/>
      <c r="U55" s="266"/>
      <c r="V55" s="266"/>
      <c r="W55" s="266">
        <f t="shared" si="13"/>
        <v>95.140499999999989</v>
      </c>
      <c r="X55" s="245"/>
    </row>
    <row r="56" spans="1:24" ht="16.5" thickBot="1" x14ac:dyDescent="0.3">
      <c r="A56" s="245"/>
      <c r="B56" s="245"/>
      <c r="C56" s="262" t="s">
        <v>157</v>
      </c>
      <c r="D56" s="263"/>
      <c r="E56" s="264">
        <f t="shared" si="0"/>
        <v>0</v>
      </c>
      <c r="F56" s="264">
        <f t="shared" si="1"/>
        <v>0.50459999999999994</v>
      </c>
      <c r="G56" s="264">
        <f t="shared" si="2"/>
        <v>1.48915</v>
      </c>
      <c r="H56" s="264">
        <f t="shared" si="5"/>
        <v>1.7704500000000001</v>
      </c>
      <c r="I56" s="267">
        <v>1</v>
      </c>
      <c r="J56" s="265">
        <f t="shared" si="3"/>
        <v>4144.8440249999994</v>
      </c>
      <c r="K56" s="267">
        <v>1</v>
      </c>
      <c r="L56" s="264">
        <f t="shared" si="4"/>
        <v>0</v>
      </c>
      <c r="M56" s="247"/>
      <c r="N56" s="266">
        <f>ROUND((3.59+10*1)/4,2)</f>
        <v>3.4</v>
      </c>
      <c r="O56" s="266">
        <f>(O55+O57)/2</f>
        <v>0</v>
      </c>
      <c r="P56" s="266">
        <v>0.14499999999999999</v>
      </c>
      <c r="Q56" s="245">
        <f>(Q55+Q57)/2</f>
        <v>0</v>
      </c>
      <c r="R56" s="266">
        <f>ROUND((0.704 +0.75 *1),2)</f>
        <v>1.45</v>
      </c>
      <c r="S56" s="266"/>
      <c r="T56" s="266"/>
      <c r="U56" s="266"/>
      <c r="V56" s="266"/>
      <c r="W56" s="266">
        <f t="shared" si="13"/>
        <v>112.15749999999998</v>
      </c>
      <c r="X56" s="245"/>
    </row>
    <row r="57" spans="1:24" ht="16.5" thickBot="1" x14ac:dyDescent="0.3">
      <c r="A57" s="245"/>
      <c r="B57" s="245"/>
      <c r="C57" s="262" t="s">
        <v>158</v>
      </c>
      <c r="D57" s="263"/>
      <c r="E57" s="264">
        <f t="shared" si="0"/>
        <v>0</v>
      </c>
      <c r="F57" s="264">
        <f t="shared" si="1"/>
        <v>0.6411</v>
      </c>
      <c r="G57" s="264">
        <f t="shared" si="2"/>
        <v>1.8840500000000002</v>
      </c>
      <c r="H57" s="264">
        <f t="shared" si="5"/>
        <v>2.2422</v>
      </c>
      <c r="I57" s="267">
        <v>1</v>
      </c>
      <c r="J57" s="265">
        <f t="shared" si="3"/>
        <v>4999.5484749999987</v>
      </c>
      <c r="K57" s="267">
        <v>1</v>
      </c>
      <c r="L57" s="264">
        <f t="shared" si="4"/>
        <v>0</v>
      </c>
      <c r="M57" s="247"/>
      <c r="N57" s="266">
        <f>ROUND((4+11.2*1)/4,2)</f>
        <v>3.8</v>
      </c>
      <c r="O57" s="266"/>
      <c r="P57" s="266">
        <v>0.17</v>
      </c>
      <c r="Q57" s="245"/>
      <c r="R57" s="266">
        <f>ROUND((0.843 +0.84*1.2),2)</f>
        <v>1.85</v>
      </c>
      <c r="S57" s="266"/>
      <c r="T57" s="266"/>
      <c r="U57" s="266"/>
      <c r="V57" s="266"/>
      <c r="W57" s="266">
        <f t="shared" si="13"/>
        <v>143.0975</v>
      </c>
      <c r="X57" s="245"/>
    </row>
    <row r="58" spans="1:24" ht="16.5" thickBot="1" x14ac:dyDescent="0.3">
      <c r="A58" s="245"/>
      <c r="B58" s="245"/>
      <c r="C58" s="262" t="s">
        <v>159</v>
      </c>
      <c r="D58" s="263"/>
      <c r="E58" s="264">
        <f t="shared" si="0"/>
        <v>0</v>
      </c>
      <c r="F58" s="264">
        <f t="shared" si="1"/>
        <v>0.80657999999999996</v>
      </c>
      <c r="G58" s="264">
        <f t="shared" si="2"/>
        <v>2.3575999999999997</v>
      </c>
      <c r="H58" s="264">
        <f t="shared" si="5"/>
        <v>2.8094099999999997</v>
      </c>
      <c r="I58" s="267">
        <v>1</v>
      </c>
      <c r="J58" s="265">
        <f t="shared" si="3"/>
        <v>6030.3410599999979</v>
      </c>
      <c r="K58" s="267">
        <v>1</v>
      </c>
      <c r="L58" s="264">
        <f t="shared" si="4"/>
        <v>0</v>
      </c>
      <c r="M58" s="247"/>
      <c r="N58" s="266">
        <f>ROUND((4.53+12.2*1)/4,2)</f>
        <v>4.18</v>
      </c>
      <c r="O58" s="266"/>
      <c r="P58" s="266">
        <v>0.191</v>
      </c>
      <c r="Q58" s="245"/>
      <c r="R58" s="266">
        <f>ROUND((0.968 +0.915 *1.5),2)</f>
        <v>2.34</v>
      </c>
      <c r="S58" s="266"/>
      <c r="T58" s="266"/>
      <c r="U58" s="266"/>
      <c r="V58" s="266"/>
      <c r="W58" s="266">
        <f t="shared" si="13"/>
        <v>180.99899999999997</v>
      </c>
      <c r="X58" s="245"/>
    </row>
    <row r="59" spans="1:24" ht="16.5" thickBot="1" x14ac:dyDescent="0.3">
      <c r="A59" s="245"/>
      <c r="B59" s="245"/>
      <c r="C59" s="262" t="s">
        <v>160</v>
      </c>
      <c r="D59" s="263"/>
      <c r="E59" s="264">
        <f t="shared" si="0"/>
        <v>0</v>
      </c>
      <c r="F59" s="264">
        <f t="shared" si="1"/>
        <v>0.89753699999999992</v>
      </c>
      <c r="G59" s="264">
        <f t="shared" si="2"/>
        <v>2.6274289999999998</v>
      </c>
      <c r="H59" s="264">
        <f t="shared" si="5"/>
        <v>3.1298114999999997</v>
      </c>
      <c r="I59" s="267">
        <v>1</v>
      </c>
      <c r="J59" s="265">
        <f t="shared" si="3"/>
        <v>6613.9201040555536</v>
      </c>
      <c r="K59" s="267">
        <v>1</v>
      </c>
      <c r="L59" s="264">
        <f t="shared" si="4"/>
        <v>0</v>
      </c>
      <c r="M59" s="247"/>
      <c r="N59" s="266">
        <f>N58/1.8*2</f>
        <v>4.6444444444444439</v>
      </c>
      <c r="O59" s="266"/>
      <c r="P59" s="266">
        <f>P58*1.15</f>
        <v>0.21964999999999998</v>
      </c>
      <c r="Q59" s="245"/>
      <c r="R59" s="266">
        <f>R58/1.8*2</f>
        <v>2.5999999999999996</v>
      </c>
      <c r="S59" s="266"/>
      <c r="T59" s="266"/>
      <c r="U59" s="266"/>
      <c r="V59" s="266"/>
      <c r="W59" s="266">
        <f t="shared" si="13"/>
        <v>201.10999999999996</v>
      </c>
      <c r="X59" s="245"/>
    </row>
    <row r="60" spans="1:24" ht="16.5" thickBot="1" x14ac:dyDescent="0.3">
      <c r="A60" s="245"/>
      <c r="B60" s="245"/>
      <c r="C60" s="262" t="s">
        <v>161</v>
      </c>
      <c r="D60" s="263"/>
      <c r="E60" s="264">
        <f t="shared" si="0"/>
        <v>0</v>
      </c>
      <c r="F60" s="264">
        <f t="shared" si="1"/>
        <v>1.1179675499999999</v>
      </c>
      <c r="G60" s="264">
        <f t="shared" si="2"/>
        <v>3.2610033499999997</v>
      </c>
      <c r="H60" s="264">
        <f t="shared" si="5"/>
        <v>3.8878832249999999</v>
      </c>
      <c r="I60" s="267">
        <v>1</v>
      </c>
      <c r="J60" s="265">
        <f t="shared" si="3"/>
        <v>8057.8883052194424</v>
      </c>
      <c r="K60" s="267">
        <v>1</v>
      </c>
      <c r="L60" s="264">
        <f t="shared" si="4"/>
        <v>0</v>
      </c>
      <c r="M60" s="247"/>
      <c r="N60" s="266">
        <f>N59/2*2.5</f>
        <v>5.8055555555555554</v>
      </c>
      <c r="O60" s="266"/>
      <c r="P60" s="266">
        <f>P59*1.15</f>
        <v>0.25259749999999997</v>
      </c>
      <c r="Q60" s="245"/>
      <c r="R60" s="266">
        <f>R59/2*2.5</f>
        <v>3.2499999999999996</v>
      </c>
      <c r="S60" s="266"/>
      <c r="T60" s="266"/>
      <c r="U60" s="266"/>
      <c r="V60" s="266"/>
      <c r="W60" s="266">
        <f t="shared" si="13"/>
        <v>251.38749999999996</v>
      </c>
      <c r="X60" s="245"/>
    </row>
    <row r="61" spans="1:24" ht="16.5" thickBot="1" x14ac:dyDescent="0.3">
      <c r="A61" s="245"/>
      <c r="B61" s="245"/>
      <c r="C61" s="262" t="s">
        <v>424</v>
      </c>
      <c r="D61" s="263"/>
      <c r="E61" s="264">
        <f t="shared" si="0"/>
        <v>0</v>
      </c>
      <c r="F61" s="264">
        <f t="shared" si="1"/>
        <v>0.11253000000000002</v>
      </c>
      <c r="G61" s="264">
        <f t="shared" si="2"/>
        <v>0.31406100000000003</v>
      </c>
      <c r="H61" s="264">
        <f t="shared" si="5"/>
        <v>0.37851000000000007</v>
      </c>
      <c r="I61" s="267"/>
      <c r="J61" s="265">
        <f t="shared" si="3"/>
        <v>938.21280000000002</v>
      </c>
      <c r="K61" s="267"/>
      <c r="L61" s="264">
        <f t="shared" si="4"/>
        <v>0</v>
      </c>
      <c r="M61" s="247"/>
      <c r="N61" s="266">
        <f>2+1.56+0.72</f>
        <v>4.28</v>
      </c>
      <c r="O61" s="266"/>
      <c r="P61" s="266"/>
      <c r="Q61" s="245"/>
      <c r="R61" s="266">
        <f>0.1+0.16+0.081</f>
        <v>0.34100000000000003</v>
      </c>
      <c r="S61" s="266"/>
      <c r="T61" s="266"/>
      <c r="U61" s="266"/>
      <c r="V61" s="266"/>
      <c r="W61" s="266">
        <f>1.32+4.11+4.74+1.69+3</f>
        <v>14.860000000000001</v>
      </c>
      <c r="X61" s="245"/>
    </row>
    <row r="62" spans="1:24" ht="16.5" thickBot="1" x14ac:dyDescent="0.3">
      <c r="A62" s="245"/>
      <c r="B62" s="245"/>
      <c r="C62" s="262" t="s">
        <v>425</v>
      </c>
      <c r="D62" s="263"/>
      <c r="E62" s="264">
        <f t="shared" si="0"/>
        <v>0</v>
      </c>
      <c r="F62" s="264">
        <f t="shared" si="1"/>
        <v>0.12243000000000002</v>
      </c>
      <c r="G62" s="264">
        <f t="shared" si="2"/>
        <v>0.34169100000000008</v>
      </c>
      <c r="H62" s="264">
        <f t="shared" si="5"/>
        <v>0.41181000000000012</v>
      </c>
      <c r="I62" s="267"/>
      <c r="J62" s="265">
        <f t="shared" si="3"/>
        <v>1044.6030999999998</v>
      </c>
      <c r="K62" s="267"/>
      <c r="L62" s="264">
        <f t="shared" si="4"/>
        <v>0</v>
      </c>
      <c r="M62" s="247"/>
      <c r="N62" s="266">
        <f>2+1.76+0.72</f>
        <v>4.4799999999999995</v>
      </c>
      <c r="O62" s="266"/>
      <c r="P62" s="266"/>
      <c r="Q62" s="245"/>
      <c r="R62" s="266">
        <f>0.1+0.19+0.081</f>
        <v>0.37100000000000005</v>
      </c>
      <c r="S62" s="266"/>
      <c r="T62" s="266"/>
      <c r="U62" s="266"/>
      <c r="V62" s="266"/>
      <c r="W62" s="266">
        <f>1.32+4.11+7.42+2.52+3</f>
        <v>18.37</v>
      </c>
      <c r="X62" s="245"/>
    </row>
    <row r="63" spans="1:24" ht="16.5" thickBot="1" x14ac:dyDescent="0.3">
      <c r="A63" s="245"/>
      <c r="B63" s="245"/>
      <c r="C63" s="262" t="s">
        <v>426</v>
      </c>
      <c r="D63" s="263"/>
      <c r="E63" s="264">
        <f t="shared" si="0"/>
        <v>0</v>
      </c>
      <c r="F63" s="264">
        <f t="shared" si="1"/>
        <v>0.13233</v>
      </c>
      <c r="G63" s="264">
        <f t="shared" si="2"/>
        <v>0.36932100000000001</v>
      </c>
      <c r="H63" s="264">
        <f t="shared" si="5"/>
        <v>0.44511000000000006</v>
      </c>
      <c r="I63" s="267"/>
      <c r="J63" s="265">
        <f t="shared" si="3"/>
        <v>1169.5282999999999</v>
      </c>
      <c r="K63" s="267"/>
      <c r="L63" s="264">
        <f t="shared" si="4"/>
        <v>0</v>
      </c>
      <c r="M63" s="247"/>
      <c r="N63" s="266">
        <f>2+1.96+0.72</f>
        <v>4.68</v>
      </c>
      <c r="O63" s="266"/>
      <c r="P63" s="266"/>
      <c r="Q63" s="245"/>
      <c r="R63" s="266">
        <f>0.1+0.22+0.081</f>
        <v>0.40100000000000002</v>
      </c>
      <c r="S63" s="266"/>
      <c r="T63" s="266"/>
      <c r="U63" s="266"/>
      <c r="V63" s="266"/>
      <c r="W63" s="266">
        <f>1.32+4.11+10.23+3.15+4</f>
        <v>22.81</v>
      </c>
      <c r="X63" s="245"/>
    </row>
    <row r="64" spans="1:24" ht="16.5" thickBot="1" x14ac:dyDescent="0.3">
      <c r="A64" s="245"/>
      <c r="B64" s="245"/>
      <c r="C64" s="262" t="s">
        <v>427</v>
      </c>
      <c r="D64" s="263"/>
      <c r="E64" s="264">
        <f t="shared" si="0"/>
        <v>0</v>
      </c>
      <c r="F64" s="264">
        <f t="shared" si="1"/>
        <v>0.38417000000000001</v>
      </c>
      <c r="G64" s="264">
        <f t="shared" si="2"/>
        <v>1.55436</v>
      </c>
      <c r="H64" s="264">
        <f t="shared" si="5"/>
        <v>2.9078100000000004</v>
      </c>
      <c r="I64" s="267"/>
      <c r="J64" s="265">
        <f t="shared" si="3"/>
        <v>1021.1634700000001</v>
      </c>
      <c r="K64" s="267"/>
      <c r="L64" s="264">
        <f t="shared" si="4"/>
        <v>0</v>
      </c>
      <c r="M64" s="247">
        <v>1.22</v>
      </c>
      <c r="N64" s="266">
        <f>7.413/3</f>
        <v>2.4710000000000001</v>
      </c>
      <c r="O64" s="266"/>
      <c r="P64" s="266"/>
      <c r="Q64" s="245">
        <v>0.97099999999999997</v>
      </c>
      <c r="R64" s="266"/>
      <c r="S64" s="266"/>
      <c r="T64" s="266"/>
      <c r="U64" s="266"/>
      <c r="V64" s="266"/>
      <c r="W64" s="266"/>
      <c r="X64" s="245"/>
    </row>
    <row r="65" spans="1:24" ht="16.5" thickBot="1" x14ac:dyDescent="0.3">
      <c r="A65" s="245"/>
      <c r="B65" s="245"/>
      <c r="C65" s="262" t="s">
        <v>428</v>
      </c>
      <c r="D65" s="263"/>
      <c r="E65" s="264">
        <f t="shared" si="0"/>
        <v>0</v>
      </c>
      <c r="F65" s="264">
        <f t="shared" si="1"/>
        <v>0.47295000000000004</v>
      </c>
      <c r="G65" s="264">
        <f t="shared" si="2"/>
        <v>1.9178999999999999</v>
      </c>
      <c r="H65" s="264">
        <f t="shared" si="5"/>
        <v>3.6103500000000004</v>
      </c>
      <c r="I65" s="267"/>
      <c r="J65" s="265">
        <f t="shared" si="3"/>
        <v>1223.2039333333335</v>
      </c>
      <c r="K65" s="267"/>
      <c r="L65" s="264">
        <f t="shared" si="4"/>
        <v>0</v>
      </c>
      <c r="M65" s="247">
        <v>1.53</v>
      </c>
      <c r="N65" s="266">
        <f>8.15/3</f>
        <v>2.7166666666666668</v>
      </c>
      <c r="O65" s="266"/>
      <c r="P65" s="266"/>
      <c r="Q65" s="245">
        <v>1.1850000000000001</v>
      </c>
      <c r="R65" s="266"/>
      <c r="S65" s="266"/>
      <c r="T65" s="266"/>
      <c r="U65" s="266"/>
      <c r="V65" s="266"/>
      <c r="W65" s="266"/>
      <c r="X65" s="245"/>
    </row>
    <row r="66" spans="1:24" ht="16.5" thickBot="1" x14ac:dyDescent="0.3">
      <c r="A66" s="245"/>
      <c r="B66" s="245"/>
      <c r="C66" s="262" t="s">
        <v>429</v>
      </c>
      <c r="D66" s="263"/>
      <c r="E66" s="264">
        <f t="shared" si="0"/>
        <v>0</v>
      </c>
      <c r="F66" s="264">
        <f t="shared" si="1"/>
        <v>0.75196000000000007</v>
      </c>
      <c r="G66" s="264">
        <f t="shared" si="2"/>
        <v>3.0643799999999999</v>
      </c>
      <c r="H66" s="264">
        <f t="shared" si="5"/>
        <v>5.8462800000000001</v>
      </c>
      <c r="I66" s="267"/>
      <c r="J66" s="265">
        <f t="shared" si="3"/>
        <v>1882.6414999999997</v>
      </c>
      <c r="K66" s="267"/>
      <c r="L66" s="264">
        <f t="shared" si="4"/>
        <v>0</v>
      </c>
      <c r="M66" s="247">
        <v>2.5299999999999998</v>
      </c>
      <c r="N66" s="266">
        <f>11.04/3</f>
        <v>3.6799999999999997</v>
      </c>
      <c r="O66" s="266"/>
      <c r="P66" s="266"/>
      <c r="Q66" s="245">
        <v>1.8480000000000001</v>
      </c>
      <c r="R66" s="266"/>
      <c r="S66" s="266"/>
      <c r="T66" s="266"/>
      <c r="U66" s="266"/>
      <c r="V66" s="266"/>
      <c r="W66" s="266"/>
      <c r="X66" s="245"/>
    </row>
    <row r="67" spans="1:24" ht="16.5" thickBot="1" x14ac:dyDescent="0.3">
      <c r="A67" s="245"/>
      <c r="B67" s="245"/>
      <c r="C67" s="262" t="s">
        <v>163</v>
      </c>
      <c r="D67" s="263"/>
      <c r="E67" s="264">
        <f t="shared" si="0"/>
        <v>0</v>
      </c>
      <c r="F67" s="264">
        <f t="shared" si="1"/>
        <v>1.08901</v>
      </c>
      <c r="G67" s="264">
        <f t="shared" si="2"/>
        <v>4.4434800000000001</v>
      </c>
      <c r="H67" s="264">
        <f t="shared" si="5"/>
        <v>8.5059300000000011</v>
      </c>
      <c r="I67" s="267"/>
      <c r="J67" s="265">
        <f t="shared" si="3"/>
        <v>2656.9669666666668</v>
      </c>
      <c r="K67" s="267"/>
      <c r="L67" s="264">
        <f t="shared" si="4"/>
        <v>0</v>
      </c>
      <c r="M67" s="247">
        <v>3.7</v>
      </c>
      <c r="N67" s="266">
        <f>14.05/3</f>
        <v>4.6833333333333336</v>
      </c>
      <c r="O67" s="266"/>
      <c r="P67" s="266"/>
      <c r="Q67" s="245">
        <v>2.6629999999999998</v>
      </c>
      <c r="R67" s="266"/>
      <c r="S67" s="266"/>
      <c r="T67" s="266"/>
      <c r="U67" s="266"/>
      <c r="V67" s="266"/>
      <c r="W67" s="266"/>
      <c r="X67" s="245"/>
    </row>
    <row r="68" spans="1:24" ht="16.5" thickBot="1" x14ac:dyDescent="0.3">
      <c r="A68" s="245"/>
      <c r="B68" s="245"/>
      <c r="C68" s="262" t="s">
        <v>164</v>
      </c>
      <c r="D68" s="263"/>
      <c r="E68" s="264">
        <f t="shared" ref="E68:E82" si="14">O68*0.846</f>
        <v>0</v>
      </c>
      <c r="F68" s="264">
        <f t="shared" ref="F68:F82" si="15">A68*0.231+M68*0.1+O68*0.0588+P68*0.18+Q68*0.27+R68*0.33+T68*0.005*0.434</f>
        <v>1.4740100000000003</v>
      </c>
      <c r="G68" s="264">
        <f t="shared" ref="G68:G82" si="16">A68*0.6447+M68*0.51+O68*0.396+P68*1.06+Q68*0.96+R68*0.921+T68*0.005*1.575</f>
        <v>6.0316799999999997</v>
      </c>
      <c r="H68" s="264">
        <f t="shared" si="5"/>
        <v>11.634930000000001</v>
      </c>
      <c r="I68" s="267"/>
      <c r="J68" s="265">
        <f t="shared" ref="J68:J82" si="17">A68*345.22+M68*265.87+N68*113.57+O68*536+P68*387.29+Q68*428.6+R68*457.4+S68*464.24+T68*420.56*0.005+U68*26.13+V68*17.82+W68*19.93+X68*359.34+K68*436.99+I68*367.03</f>
        <v>3551.6050000000005</v>
      </c>
      <c r="K68" s="267"/>
      <c r="L68" s="264">
        <f t="shared" ref="L68:L82" si="18">O68*0.0282</f>
        <v>0</v>
      </c>
      <c r="M68" s="247">
        <v>5.12</v>
      </c>
      <c r="N68" s="266">
        <f>17.52/3</f>
        <v>5.84</v>
      </c>
      <c r="O68" s="266"/>
      <c r="P68" s="266"/>
      <c r="Q68" s="245">
        <v>3.5630000000000002</v>
      </c>
      <c r="R68" s="266"/>
      <c r="S68" s="266"/>
      <c r="T68" s="266"/>
      <c r="U68" s="266"/>
      <c r="V68" s="266"/>
      <c r="W68" s="266"/>
      <c r="X68" s="245"/>
    </row>
    <row r="69" spans="1:24" ht="16.5" thickBot="1" x14ac:dyDescent="0.3">
      <c r="A69" s="245"/>
      <c r="B69" s="245"/>
      <c r="C69" s="262" t="s">
        <v>165</v>
      </c>
      <c r="D69" s="263"/>
      <c r="E69" s="264">
        <f t="shared" si="14"/>
        <v>0</v>
      </c>
      <c r="F69" s="264">
        <f t="shared" si="15"/>
        <v>2.41967</v>
      </c>
      <c r="G69" s="264">
        <f t="shared" si="16"/>
        <v>9.9546600000000005</v>
      </c>
      <c r="H69" s="264">
        <f t="shared" ref="H69" si="19">A69*(0.777+0.45)+M69*(1.5)+P69*1.11+Q69*1.11+R69*1.11</f>
        <v>19.47531</v>
      </c>
      <c r="I69" s="267"/>
      <c r="J69" s="265">
        <f t="shared" si="17"/>
        <v>5668.0147666666671</v>
      </c>
      <c r="K69" s="267"/>
      <c r="L69" s="264">
        <f t="shared" si="18"/>
        <v>0</v>
      </c>
      <c r="M69" s="247">
        <v>8.75</v>
      </c>
      <c r="N69" s="266">
        <f>23.5/3</f>
        <v>7.833333333333333</v>
      </c>
      <c r="O69" s="266"/>
      <c r="P69" s="266"/>
      <c r="Q69" s="245">
        <v>5.7210000000000001</v>
      </c>
      <c r="R69" s="266"/>
      <c r="S69" s="266"/>
      <c r="T69" s="266"/>
      <c r="U69" s="266"/>
      <c r="V69" s="266"/>
      <c r="W69" s="266"/>
      <c r="X69" s="245"/>
    </row>
    <row r="70" spans="1:24" ht="16.5" thickBot="1" x14ac:dyDescent="0.3">
      <c r="A70" s="27"/>
      <c r="B70" s="27"/>
      <c r="C70" s="22" t="s">
        <v>440</v>
      </c>
      <c r="D70" s="1"/>
      <c r="E70" s="264">
        <f t="shared" si="14"/>
        <v>0</v>
      </c>
      <c r="F70" s="264">
        <f t="shared" si="15"/>
        <v>0</v>
      </c>
      <c r="G70" s="264">
        <f t="shared" si="16"/>
        <v>0</v>
      </c>
      <c r="H70" s="264">
        <f t="shared" ref="H70:H82" si="20">A70*(0.777+0.45)+M70*(0.777+0.45)+P70*1.11+Q70*1.11+R70*1.11</f>
        <v>0</v>
      </c>
      <c r="I70" s="2"/>
      <c r="J70" s="265">
        <f t="shared" si="17"/>
        <v>0</v>
      </c>
      <c r="K70" s="23"/>
      <c r="L70" s="264">
        <f t="shared" si="18"/>
        <v>0</v>
      </c>
      <c r="M70" s="24"/>
      <c r="N70" s="24"/>
      <c r="O70" s="25"/>
      <c r="P70" s="26"/>
      <c r="Q70" s="27"/>
      <c r="R70" s="24"/>
      <c r="S70" s="24"/>
      <c r="T70" s="24"/>
      <c r="U70" s="24"/>
      <c r="V70" s="24"/>
      <c r="W70" s="24"/>
      <c r="X70" s="27"/>
    </row>
    <row r="71" spans="1:24" ht="16.5" thickBot="1" x14ac:dyDescent="0.3">
      <c r="A71" s="27"/>
      <c r="B71" s="27"/>
      <c r="C71" s="22" t="s">
        <v>441</v>
      </c>
      <c r="D71" s="1"/>
      <c r="E71" s="264">
        <f t="shared" si="14"/>
        <v>0</v>
      </c>
      <c r="F71" s="264">
        <f t="shared" si="15"/>
        <v>0</v>
      </c>
      <c r="G71" s="264">
        <f t="shared" si="16"/>
        <v>0</v>
      </c>
      <c r="H71" s="264">
        <f t="shared" si="20"/>
        <v>0</v>
      </c>
      <c r="I71" s="2"/>
      <c r="J71" s="265">
        <f t="shared" si="17"/>
        <v>0</v>
      </c>
      <c r="K71" s="23"/>
      <c r="L71" s="264">
        <f t="shared" si="18"/>
        <v>0</v>
      </c>
      <c r="M71" s="24"/>
      <c r="N71" s="24"/>
      <c r="O71" s="25"/>
      <c r="P71" s="26"/>
      <c r="Q71" s="27"/>
      <c r="R71" s="24"/>
      <c r="S71" s="24"/>
      <c r="T71" s="24"/>
      <c r="U71" s="24"/>
      <c r="V71" s="24"/>
      <c r="W71" s="24"/>
      <c r="X71" s="27"/>
    </row>
    <row r="72" spans="1:24" ht="16.5" thickBot="1" x14ac:dyDescent="0.3">
      <c r="A72" s="27"/>
      <c r="B72" s="27"/>
      <c r="C72" s="22" t="s">
        <v>442</v>
      </c>
      <c r="D72" s="1"/>
      <c r="E72" s="264">
        <f t="shared" si="14"/>
        <v>0</v>
      </c>
      <c r="F72" s="264">
        <f t="shared" si="15"/>
        <v>0</v>
      </c>
      <c r="G72" s="264">
        <f t="shared" si="16"/>
        <v>0</v>
      </c>
      <c r="H72" s="264">
        <f t="shared" si="20"/>
        <v>0</v>
      </c>
      <c r="I72" s="2"/>
      <c r="J72" s="265">
        <f t="shared" si="17"/>
        <v>0</v>
      </c>
      <c r="K72" s="23"/>
      <c r="L72" s="264">
        <f t="shared" si="18"/>
        <v>0</v>
      </c>
      <c r="M72" s="24"/>
      <c r="N72" s="24"/>
      <c r="O72" s="25"/>
      <c r="P72" s="26"/>
      <c r="Q72" s="27"/>
      <c r="R72" s="24"/>
      <c r="S72" s="24"/>
      <c r="T72" s="24"/>
      <c r="U72" s="24"/>
      <c r="V72" s="24"/>
      <c r="W72" s="24"/>
      <c r="X72" s="27"/>
    </row>
    <row r="73" spans="1:24" ht="16.5" thickBot="1" x14ac:dyDescent="0.3">
      <c r="A73" s="27"/>
      <c r="B73" s="27"/>
      <c r="C73" s="22" t="s">
        <v>443</v>
      </c>
      <c r="D73" s="1"/>
      <c r="E73" s="264">
        <f t="shared" si="14"/>
        <v>0</v>
      </c>
      <c r="F73" s="264">
        <f t="shared" si="15"/>
        <v>0</v>
      </c>
      <c r="G73" s="264">
        <f t="shared" si="16"/>
        <v>0</v>
      </c>
      <c r="H73" s="264">
        <f t="shared" si="20"/>
        <v>0</v>
      </c>
      <c r="I73" s="2"/>
      <c r="J73" s="265">
        <f t="shared" si="17"/>
        <v>0</v>
      </c>
      <c r="K73" s="23"/>
      <c r="L73" s="264">
        <f t="shared" si="18"/>
        <v>0</v>
      </c>
      <c r="M73" s="24"/>
      <c r="N73" s="24"/>
      <c r="O73" s="25"/>
      <c r="P73" s="26"/>
      <c r="Q73" s="27"/>
      <c r="R73" s="24"/>
      <c r="S73" s="24"/>
      <c r="T73" s="24"/>
      <c r="U73" s="24"/>
      <c r="V73" s="24"/>
      <c r="W73" s="24"/>
      <c r="X73" s="27"/>
    </row>
    <row r="74" spans="1:24" ht="16.5" thickBot="1" x14ac:dyDescent="0.3">
      <c r="A74" s="27"/>
      <c r="B74" s="27"/>
      <c r="C74" s="22" t="s">
        <v>444</v>
      </c>
      <c r="D74" s="1"/>
      <c r="E74" s="264">
        <f t="shared" si="14"/>
        <v>0</v>
      </c>
      <c r="F74" s="264">
        <f t="shared" si="15"/>
        <v>0</v>
      </c>
      <c r="G74" s="264">
        <f t="shared" si="16"/>
        <v>0</v>
      </c>
      <c r="H74" s="264">
        <f t="shared" si="20"/>
        <v>0</v>
      </c>
      <c r="I74" s="2"/>
      <c r="J74" s="265">
        <f t="shared" si="17"/>
        <v>0</v>
      </c>
      <c r="K74" s="23"/>
      <c r="L74" s="264">
        <f t="shared" si="18"/>
        <v>0</v>
      </c>
      <c r="M74" s="24"/>
      <c r="N74" s="24"/>
      <c r="O74" s="25"/>
      <c r="P74" s="26"/>
      <c r="Q74" s="27"/>
      <c r="R74" s="24"/>
      <c r="S74" s="24"/>
      <c r="T74" s="24"/>
      <c r="U74" s="24"/>
      <c r="V74" s="24"/>
      <c r="W74" s="24"/>
      <c r="X74" s="27"/>
    </row>
    <row r="75" spans="1:24" ht="16.5" thickBot="1" x14ac:dyDescent="0.3">
      <c r="A75" s="27"/>
      <c r="B75" s="27"/>
      <c r="C75" s="22" t="s">
        <v>445</v>
      </c>
      <c r="D75" s="1"/>
      <c r="E75" s="264">
        <f t="shared" si="14"/>
        <v>0</v>
      </c>
      <c r="F75" s="264">
        <f t="shared" si="15"/>
        <v>0</v>
      </c>
      <c r="G75" s="264">
        <f t="shared" si="16"/>
        <v>0</v>
      </c>
      <c r="H75" s="264">
        <f t="shared" si="20"/>
        <v>0</v>
      </c>
      <c r="I75" s="2"/>
      <c r="J75" s="265">
        <f t="shared" si="17"/>
        <v>0</v>
      </c>
      <c r="K75" s="23"/>
      <c r="L75" s="264">
        <f t="shared" si="18"/>
        <v>0</v>
      </c>
      <c r="M75" s="24"/>
      <c r="N75" s="24"/>
      <c r="O75" s="25"/>
      <c r="P75" s="26"/>
      <c r="Q75" s="27"/>
      <c r="R75" s="24"/>
      <c r="S75" s="24"/>
      <c r="T75" s="24"/>
      <c r="U75" s="24"/>
      <c r="V75" s="24"/>
      <c r="W75" s="24"/>
      <c r="X75" s="27"/>
    </row>
    <row r="76" spans="1:24" ht="16.5" thickBot="1" x14ac:dyDescent="0.3">
      <c r="A76" s="27"/>
      <c r="B76" s="27"/>
      <c r="C76" s="22" t="s">
        <v>446</v>
      </c>
      <c r="D76" s="1"/>
      <c r="E76" s="264">
        <f t="shared" si="14"/>
        <v>0</v>
      </c>
      <c r="F76" s="264">
        <f t="shared" si="15"/>
        <v>0</v>
      </c>
      <c r="G76" s="264">
        <f t="shared" si="16"/>
        <v>0</v>
      </c>
      <c r="H76" s="264">
        <f t="shared" si="20"/>
        <v>0</v>
      </c>
      <c r="I76" s="2"/>
      <c r="J76" s="265">
        <f t="shared" si="17"/>
        <v>0</v>
      </c>
      <c r="K76" s="23"/>
      <c r="L76" s="264">
        <f t="shared" si="18"/>
        <v>0</v>
      </c>
      <c r="M76" s="24"/>
      <c r="N76" s="24"/>
      <c r="O76" s="25"/>
      <c r="P76" s="26"/>
      <c r="Q76" s="27"/>
      <c r="R76" s="24"/>
      <c r="S76" s="24"/>
      <c r="T76" s="24"/>
      <c r="U76" s="24"/>
      <c r="V76" s="24"/>
      <c r="W76" s="24"/>
      <c r="X76" s="27"/>
    </row>
    <row r="77" spans="1:24" ht="16.5" thickBot="1" x14ac:dyDescent="0.3">
      <c r="A77" s="27"/>
      <c r="B77" s="27"/>
      <c r="C77" s="22" t="s">
        <v>447</v>
      </c>
      <c r="D77" s="1"/>
      <c r="E77" s="264">
        <f t="shared" si="14"/>
        <v>0</v>
      </c>
      <c r="F77" s="264">
        <f t="shared" si="15"/>
        <v>0</v>
      </c>
      <c r="G77" s="264">
        <f t="shared" si="16"/>
        <v>0</v>
      </c>
      <c r="H77" s="264">
        <f t="shared" si="20"/>
        <v>0</v>
      </c>
      <c r="I77" s="2"/>
      <c r="J77" s="265">
        <f t="shared" si="17"/>
        <v>0</v>
      </c>
      <c r="K77" s="23"/>
      <c r="L77" s="264">
        <f t="shared" si="18"/>
        <v>0</v>
      </c>
      <c r="M77" s="24"/>
      <c r="N77" s="24"/>
      <c r="O77" s="25"/>
      <c r="P77" s="26"/>
      <c r="Q77" s="27"/>
      <c r="R77" s="24"/>
      <c r="S77" s="24"/>
      <c r="T77" s="24"/>
      <c r="U77" s="24"/>
      <c r="V77" s="24"/>
      <c r="W77" s="24"/>
      <c r="X77" s="27"/>
    </row>
    <row r="78" spans="1:24" ht="16.5" thickBot="1" x14ac:dyDescent="0.3">
      <c r="A78" s="27"/>
      <c r="B78" s="27"/>
      <c r="C78" s="22" t="s">
        <v>448</v>
      </c>
      <c r="D78" s="1"/>
      <c r="E78" s="264">
        <f t="shared" si="14"/>
        <v>0</v>
      </c>
      <c r="F78" s="264">
        <f t="shared" si="15"/>
        <v>0</v>
      </c>
      <c r="G78" s="264">
        <f t="shared" si="16"/>
        <v>0</v>
      </c>
      <c r="H78" s="264">
        <f t="shared" si="20"/>
        <v>0</v>
      </c>
      <c r="I78" s="2"/>
      <c r="J78" s="265">
        <f t="shared" si="17"/>
        <v>0</v>
      </c>
      <c r="K78" s="23"/>
      <c r="L78" s="264">
        <f t="shared" si="18"/>
        <v>0</v>
      </c>
      <c r="M78" s="24"/>
      <c r="N78" s="24"/>
      <c r="O78" s="25"/>
      <c r="P78" s="26"/>
      <c r="Q78" s="27"/>
      <c r="R78" s="24"/>
      <c r="S78" s="24"/>
      <c r="T78" s="24"/>
      <c r="U78" s="24"/>
      <c r="V78" s="24"/>
      <c r="W78" s="24"/>
      <c r="X78" s="27"/>
    </row>
    <row r="79" spans="1:24" ht="16.5" thickBot="1" x14ac:dyDescent="0.3">
      <c r="A79" s="27"/>
      <c r="B79" s="27"/>
      <c r="C79" s="22" t="s">
        <v>449</v>
      </c>
      <c r="D79" s="1"/>
      <c r="E79" s="264">
        <f t="shared" si="14"/>
        <v>0</v>
      </c>
      <c r="F79" s="264">
        <f t="shared" si="15"/>
        <v>0</v>
      </c>
      <c r="G79" s="264">
        <f t="shared" si="16"/>
        <v>0</v>
      </c>
      <c r="H79" s="264">
        <f t="shared" si="20"/>
        <v>0</v>
      </c>
      <c r="I79" s="2"/>
      <c r="J79" s="265">
        <f t="shared" si="17"/>
        <v>0</v>
      </c>
      <c r="K79" s="23"/>
      <c r="L79" s="264">
        <f t="shared" si="18"/>
        <v>0</v>
      </c>
      <c r="M79" s="24"/>
      <c r="N79" s="24"/>
      <c r="O79" s="25"/>
      <c r="P79" s="26"/>
      <c r="Q79" s="27"/>
      <c r="R79" s="24"/>
      <c r="S79" s="24"/>
      <c r="T79" s="24"/>
      <c r="U79" s="24"/>
      <c r="V79" s="24"/>
      <c r="W79" s="24"/>
      <c r="X79" s="27"/>
    </row>
    <row r="80" spans="1:24" ht="15" customHeight="1" thickBot="1" x14ac:dyDescent="0.3">
      <c r="A80" s="27"/>
      <c r="B80" s="27"/>
      <c r="C80" s="22"/>
      <c r="D80" s="269"/>
      <c r="E80" s="264">
        <f t="shared" si="14"/>
        <v>0</v>
      </c>
      <c r="F80" s="264">
        <f t="shared" si="15"/>
        <v>0</v>
      </c>
      <c r="G80" s="264">
        <f t="shared" si="16"/>
        <v>0</v>
      </c>
      <c r="H80" s="264">
        <f t="shared" si="20"/>
        <v>0</v>
      </c>
      <c r="I80" s="2"/>
      <c r="J80" s="265">
        <f t="shared" si="17"/>
        <v>0</v>
      </c>
      <c r="K80" s="23"/>
      <c r="L80" s="264">
        <f t="shared" si="18"/>
        <v>0</v>
      </c>
      <c r="M80" s="24"/>
      <c r="N80" s="28"/>
      <c r="O80" s="28"/>
      <c r="P80" s="26"/>
      <c r="Q80" s="26"/>
      <c r="R80" s="26"/>
      <c r="S80" s="26"/>
      <c r="T80" s="26"/>
      <c r="U80" s="26"/>
      <c r="V80" s="26"/>
      <c r="W80" s="26"/>
      <c r="X80" s="26"/>
    </row>
    <row r="81" spans="1:24" ht="15" customHeight="1" thickBot="1" x14ac:dyDescent="0.3">
      <c r="A81" s="27"/>
      <c r="B81" s="27"/>
      <c r="C81" s="22"/>
      <c r="D81" s="269"/>
      <c r="E81" s="264">
        <f t="shared" si="14"/>
        <v>0</v>
      </c>
      <c r="F81" s="264">
        <f t="shared" si="15"/>
        <v>0</v>
      </c>
      <c r="G81" s="264">
        <f t="shared" si="16"/>
        <v>0</v>
      </c>
      <c r="H81" s="264">
        <f t="shared" si="20"/>
        <v>0</v>
      </c>
      <c r="I81" s="2"/>
      <c r="J81" s="265">
        <f t="shared" si="17"/>
        <v>0</v>
      </c>
      <c r="K81" s="23"/>
      <c r="L81" s="264">
        <f t="shared" si="18"/>
        <v>0</v>
      </c>
      <c r="M81" s="24"/>
      <c r="N81" s="28"/>
      <c r="O81" s="28"/>
      <c r="P81" s="26"/>
      <c r="Q81" s="26"/>
      <c r="R81" s="26"/>
      <c r="S81" s="26"/>
      <c r="T81" s="26"/>
      <c r="U81" s="26"/>
      <c r="V81" s="26"/>
      <c r="W81" s="26"/>
      <c r="X81" s="26"/>
    </row>
    <row r="82" spans="1:24" ht="15" customHeight="1" thickBot="1" x14ac:dyDescent="0.3">
      <c r="A82" s="27"/>
      <c r="B82" s="27"/>
      <c r="C82" s="22"/>
      <c r="D82" s="269"/>
      <c r="E82" s="264">
        <f t="shared" si="14"/>
        <v>0</v>
      </c>
      <c r="F82" s="264">
        <f t="shared" si="15"/>
        <v>0</v>
      </c>
      <c r="G82" s="264">
        <f t="shared" si="16"/>
        <v>0</v>
      </c>
      <c r="H82" s="264">
        <f t="shared" si="20"/>
        <v>0</v>
      </c>
      <c r="I82" s="2"/>
      <c r="J82" s="265">
        <f t="shared" si="17"/>
        <v>0</v>
      </c>
      <c r="K82" s="23"/>
      <c r="L82" s="264">
        <f t="shared" si="18"/>
        <v>0</v>
      </c>
      <c r="M82" s="24"/>
      <c r="N82" s="28"/>
      <c r="O82" s="28"/>
      <c r="P82" s="26"/>
      <c r="Q82" s="26"/>
      <c r="R82" s="26"/>
      <c r="S82" s="26"/>
      <c r="T82" s="26"/>
      <c r="U82" s="26"/>
      <c r="V82" s="26"/>
      <c r="W82" s="26"/>
      <c r="X82" s="26"/>
    </row>
    <row r="83" spans="1:24" ht="19.5" customHeight="1" x14ac:dyDescent="0.25">
      <c r="A83" s="245"/>
      <c r="B83" s="245"/>
      <c r="C83" s="270"/>
      <c r="D83" s="270"/>
      <c r="E83" s="271"/>
      <c r="F83" s="271"/>
      <c r="G83" s="248"/>
      <c r="H83" s="248"/>
      <c r="I83" s="248"/>
      <c r="J83" s="247"/>
      <c r="K83" s="248" t="s">
        <v>76</v>
      </c>
      <c r="L83" s="248" t="s">
        <v>77</v>
      </c>
      <c r="M83" s="248" t="s">
        <v>78</v>
      </c>
      <c r="N83" s="248" t="s">
        <v>79</v>
      </c>
      <c r="O83" s="248" t="s">
        <v>80</v>
      </c>
      <c r="P83" s="248" t="s">
        <v>81</v>
      </c>
      <c r="Q83" s="248" t="s">
        <v>82</v>
      </c>
      <c r="R83" s="248" t="s">
        <v>83</v>
      </c>
      <c r="S83" s="248" t="s">
        <v>83</v>
      </c>
      <c r="T83" s="248" t="s">
        <v>84</v>
      </c>
      <c r="U83" s="248" t="s">
        <v>85</v>
      </c>
      <c r="V83" s="248" t="s">
        <v>85</v>
      </c>
      <c r="W83" s="248" t="s">
        <v>85</v>
      </c>
      <c r="X83" s="272"/>
    </row>
    <row r="84" spans="1:24" ht="15" x14ac:dyDescent="0.2">
      <c r="A84" s="272"/>
      <c r="B84" s="272"/>
      <c r="C84" s="273"/>
      <c r="D84" s="273"/>
      <c r="E84" s="273"/>
      <c r="F84" s="274"/>
      <c r="G84" s="273"/>
      <c r="H84" s="273"/>
      <c r="I84" s="273"/>
      <c r="J84" s="273"/>
      <c r="K84" s="275"/>
      <c r="L84" s="273"/>
      <c r="M84" s="274"/>
      <c r="N84" s="273"/>
      <c r="O84" s="273"/>
      <c r="P84" s="273"/>
      <c r="Q84" s="273"/>
      <c r="R84" s="273"/>
      <c r="S84" s="273"/>
      <c r="T84" s="273"/>
      <c r="U84" s="273"/>
      <c r="V84" s="273"/>
      <c r="W84" s="273"/>
      <c r="X84" s="272"/>
    </row>
  </sheetData>
  <phoneticPr fontId="0" type="noConversion"/>
  <printOptions horizontalCentered="1" verticalCentered="1" gridLines="1" gridLinesSet="0"/>
  <pageMargins left="0.78740157480314965" right="0.6692913385826772" top="1.1811023622047245" bottom="0.98425196850393704" header="0.70866141732283472" footer="0.51181102362204722"/>
  <pageSetup paperSize="9" scale="10" orientation="landscape" horizontalDpi="4294967292" verticalDpi="180" r:id="rId1"/>
  <headerFooter alignWithMargins="0">
    <oddHeader>&amp;C&amp;"Arial,Negrito"&amp;14&amp;A</oddHeader>
    <oddFooter>&amp;C&amp;"Arial,Negrito"&amp;14&amp;F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9154C-7782-4779-851D-1407514B0ABD}">
  <sheetPr>
    <pageSetUpPr fitToPage="1"/>
  </sheetPr>
  <dimension ref="A1:U2676"/>
  <sheetViews>
    <sheetView showGridLines="0" showZeros="0" tabSelected="1" zoomScale="70" zoomScaleNormal="70" zoomScaleSheetLayoutView="50" workbookViewId="0"/>
  </sheetViews>
  <sheetFormatPr defaultColWidth="21.6640625" defaultRowHeight="12.75" x14ac:dyDescent="0.2"/>
  <cols>
    <col min="1" max="1" width="21.6640625" style="244"/>
    <col min="2" max="2" width="17.6640625" style="612" customWidth="1"/>
    <col min="3" max="3" width="14.6640625" style="612" customWidth="1"/>
    <col min="4" max="4" width="123" style="244" bestFit="1" customWidth="1"/>
    <col min="5" max="5" width="0.6640625" style="244" customWidth="1"/>
    <col min="6" max="7" width="15.5" style="244" customWidth="1"/>
    <col min="8" max="8" width="10.5" style="244" customWidth="1"/>
    <col min="9" max="9" width="14.1640625" style="244" customWidth="1"/>
    <col min="10" max="11" width="16.5" style="244" customWidth="1"/>
    <col min="12" max="12" width="6.5" style="244" customWidth="1"/>
    <col min="13" max="14" width="14.1640625" style="244" customWidth="1"/>
    <col min="15" max="17" width="18" style="244" customWidth="1"/>
    <col min="18" max="18" width="7.33203125" style="311" customWidth="1"/>
    <col min="19" max="19" width="7.33203125" style="244" customWidth="1"/>
    <col min="20" max="16384" width="21.6640625" style="3"/>
  </cols>
  <sheetData>
    <row r="1" spans="2:19" ht="19.5" customHeight="1" x14ac:dyDescent="0.2">
      <c r="B1" s="301"/>
      <c r="C1" s="733"/>
      <c r="D1" s="302"/>
      <c r="E1" s="303"/>
      <c r="F1" s="837" t="s">
        <v>2097</v>
      </c>
      <c r="G1" s="825"/>
      <c r="H1" s="304"/>
      <c r="I1" s="305"/>
      <c r="J1" s="306"/>
      <c r="K1" s="306"/>
      <c r="L1" s="307" t="s">
        <v>468</v>
      </c>
      <c r="M1" s="308"/>
      <c r="N1" s="308"/>
      <c r="O1" s="309"/>
      <c r="P1" s="305"/>
      <c r="Q1" s="310"/>
    </row>
    <row r="2" spans="2:19" x14ac:dyDescent="0.2">
      <c r="B2" s="312" t="s">
        <v>173</v>
      </c>
      <c r="C2" s="734"/>
      <c r="D2" s="313"/>
      <c r="E2" s="673"/>
      <c r="F2" s="838"/>
      <c r="G2" s="839"/>
      <c r="H2" s="314"/>
      <c r="I2" s="674"/>
      <c r="J2" s="315"/>
      <c r="K2" s="674"/>
      <c r="L2" s="674"/>
      <c r="M2" s="674"/>
      <c r="N2" s="675"/>
      <c r="O2" s="676"/>
      <c r="P2" s="677"/>
      <c r="Q2" s="316"/>
    </row>
    <row r="3" spans="2:19" x14ac:dyDescent="0.2">
      <c r="B3" s="317"/>
      <c r="C3" s="735"/>
      <c r="D3" s="318" t="s">
        <v>469</v>
      </c>
      <c r="E3" s="678"/>
      <c r="F3" s="679" t="s">
        <v>469</v>
      </c>
      <c r="G3" s="319"/>
      <c r="H3" s="320"/>
      <c r="I3" s="680"/>
      <c r="J3" s="315"/>
      <c r="K3" s="681"/>
      <c r="L3" s="318" t="s">
        <v>469</v>
      </c>
      <c r="M3" s="681"/>
      <c r="N3" s="681"/>
      <c r="O3" s="682"/>
      <c r="P3" s="680"/>
      <c r="Q3" s="321"/>
    </row>
    <row r="4" spans="2:19" x14ac:dyDescent="0.2">
      <c r="B4" s="322" t="s">
        <v>174</v>
      </c>
      <c r="C4" s="736"/>
      <c r="D4" s="323" t="s">
        <v>175</v>
      </c>
      <c r="E4" s="683" t="s">
        <v>0</v>
      </c>
      <c r="F4" s="684"/>
      <c r="G4" s="324"/>
      <c r="H4" s="320"/>
      <c r="I4" s="680"/>
      <c r="J4" s="315"/>
      <c r="K4" s="681"/>
      <c r="L4" s="681"/>
      <c r="M4" s="681"/>
      <c r="N4" s="681"/>
      <c r="O4" s="682"/>
      <c r="P4" s="680"/>
      <c r="Q4" s="321"/>
    </row>
    <row r="5" spans="2:19" x14ac:dyDescent="0.2">
      <c r="B5" s="322" t="s">
        <v>174</v>
      </c>
      <c r="C5" s="736"/>
      <c r="D5" s="323" t="s">
        <v>1</v>
      </c>
      <c r="E5" s="683" t="s">
        <v>0</v>
      </c>
      <c r="F5" s="684" t="s">
        <v>181</v>
      </c>
      <c r="G5" s="325"/>
      <c r="H5" s="320"/>
      <c r="I5" s="680"/>
      <c r="J5" s="315"/>
      <c r="K5" s="681"/>
      <c r="L5" s="681"/>
      <c r="M5" s="681"/>
      <c r="N5" s="681"/>
      <c r="O5" s="682"/>
      <c r="P5" s="680"/>
      <c r="Q5" s="321"/>
    </row>
    <row r="6" spans="2:19" x14ac:dyDescent="0.2">
      <c r="B6" s="322" t="s">
        <v>174</v>
      </c>
      <c r="C6" s="736"/>
      <c r="D6" s="323" t="s">
        <v>2</v>
      </c>
      <c r="E6" s="683" t="s">
        <v>0</v>
      </c>
      <c r="F6" s="684"/>
      <c r="G6" s="324"/>
      <c r="H6" s="320"/>
      <c r="I6" s="680"/>
      <c r="J6" s="315"/>
      <c r="K6" s="681"/>
      <c r="L6" s="681"/>
      <c r="M6" s="681"/>
      <c r="N6" s="681"/>
      <c r="O6" s="682"/>
      <c r="P6" s="680"/>
      <c r="Q6" s="321"/>
    </row>
    <row r="7" spans="2:19" x14ac:dyDescent="0.2">
      <c r="B7" s="322" t="s">
        <v>174</v>
      </c>
      <c r="C7" s="736"/>
      <c r="D7" s="323" t="s">
        <v>3</v>
      </c>
      <c r="E7" s="683" t="s">
        <v>0</v>
      </c>
      <c r="F7" s="684"/>
      <c r="G7" s="324"/>
      <c r="H7" s="320"/>
      <c r="I7" s="680"/>
      <c r="J7" s="315"/>
      <c r="K7" s="681"/>
      <c r="L7" s="681"/>
      <c r="M7" s="681"/>
      <c r="N7" s="681"/>
      <c r="O7" s="682"/>
      <c r="P7" s="680"/>
      <c r="Q7" s="321"/>
    </row>
    <row r="8" spans="2:19" ht="13.5" thickBot="1" x14ac:dyDescent="0.25">
      <c r="B8" s="326"/>
      <c r="C8" s="737"/>
      <c r="D8" s="323" t="s">
        <v>4</v>
      </c>
      <c r="E8" s="683" t="s">
        <v>0</v>
      </c>
      <c r="F8" s="684"/>
      <c r="G8" s="324"/>
      <c r="H8" s="320"/>
      <c r="I8" s="680"/>
      <c r="J8" s="315"/>
      <c r="K8" s="681"/>
      <c r="L8" s="681"/>
      <c r="M8" s="681"/>
      <c r="N8" s="681"/>
      <c r="O8" s="682"/>
      <c r="P8" s="680"/>
      <c r="Q8" s="321"/>
    </row>
    <row r="9" spans="2:19" ht="13.5" thickBot="1" x14ac:dyDescent="0.25">
      <c r="B9" s="322"/>
      <c r="C9" s="736"/>
      <c r="D9" s="323" t="s">
        <v>760</v>
      </c>
      <c r="E9" s="683" t="s">
        <v>0</v>
      </c>
      <c r="F9" s="327">
        <f>'BDI Pavimentação'!B17</f>
        <v>0.20929999999999999</v>
      </c>
      <c r="G9" s="324"/>
      <c r="H9" s="320"/>
      <c r="I9" s="680"/>
      <c r="J9" s="315"/>
      <c r="K9" s="681"/>
      <c r="L9" s="681"/>
      <c r="M9" s="681"/>
      <c r="N9" s="681"/>
      <c r="O9" s="682"/>
      <c r="P9" s="680"/>
      <c r="Q9" s="321"/>
    </row>
    <row r="10" spans="2:19" ht="13.5" thickBot="1" x14ac:dyDescent="0.25">
      <c r="B10" s="322"/>
      <c r="C10" s="736"/>
      <c r="D10" s="323" t="s">
        <v>759</v>
      </c>
      <c r="E10" s="683" t="s">
        <v>0</v>
      </c>
      <c r="F10" s="328">
        <f>'BDI Pavimentação'!B15</f>
        <v>0.26750000000000002</v>
      </c>
      <c r="G10" s="324"/>
      <c r="H10" s="320"/>
      <c r="I10" s="680"/>
      <c r="J10" s="315"/>
      <c r="K10" s="681"/>
      <c r="L10" s="681"/>
      <c r="M10" s="681"/>
      <c r="N10" s="681"/>
      <c r="O10" s="682"/>
      <c r="P10" s="680"/>
      <c r="Q10" s="321"/>
    </row>
    <row r="11" spans="2:19" ht="13.5" thickBot="1" x14ac:dyDescent="0.25">
      <c r="B11" s="329"/>
      <c r="C11" s="738"/>
      <c r="D11" s="330" t="s">
        <v>162</v>
      </c>
      <c r="E11" s="331" t="s">
        <v>0</v>
      </c>
      <c r="F11" s="332"/>
      <c r="G11" s="333"/>
      <c r="H11" s="334"/>
      <c r="I11" s="335"/>
      <c r="J11" s="336"/>
      <c r="K11" s="337"/>
      <c r="L11" s="337"/>
      <c r="M11" s="337"/>
      <c r="N11" s="337"/>
      <c r="O11" s="338"/>
      <c r="P11" s="335"/>
      <c r="Q11" s="339"/>
    </row>
    <row r="12" spans="2:19" ht="25.15" customHeight="1" thickBot="1" x14ac:dyDescent="0.25">
      <c r="B12" s="652" t="s">
        <v>180</v>
      </c>
      <c r="C12" s="739"/>
      <c r="D12" s="653"/>
      <c r="E12" s="653"/>
      <c r="F12" s="653"/>
      <c r="G12" s="654"/>
      <c r="H12" s="653"/>
      <c r="I12" s="653"/>
      <c r="J12" s="653"/>
      <c r="K12" s="653"/>
      <c r="L12" s="653"/>
      <c r="M12" s="653"/>
      <c r="N12" s="653"/>
      <c r="O12" s="653"/>
      <c r="P12" s="653"/>
      <c r="Q12" s="654"/>
    </row>
    <row r="13" spans="2:19" x14ac:dyDescent="0.2">
      <c r="B13" s="440" t="s">
        <v>183</v>
      </c>
      <c r="C13" s="740"/>
      <c r="D13" s="340" t="s">
        <v>2102</v>
      </c>
      <c r="E13" s="341"/>
      <c r="F13" s="342" t="s">
        <v>184</v>
      </c>
      <c r="G13" s="343"/>
      <c r="H13" s="344"/>
      <c r="I13" s="345"/>
      <c r="J13" s="345"/>
      <c r="K13" s="345"/>
      <c r="L13" s="345"/>
      <c r="M13" s="345"/>
      <c r="N13" s="345"/>
      <c r="O13" s="345"/>
      <c r="P13" s="345"/>
      <c r="Q13" s="346"/>
    </row>
    <row r="14" spans="2:19" x14ac:dyDescent="0.2">
      <c r="B14" s="347" t="s">
        <v>827</v>
      </c>
      <c r="C14" s="741"/>
      <c r="D14" s="348" t="s">
        <v>2104</v>
      </c>
      <c r="E14" s="349"/>
      <c r="F14" s="350" t="s">
        <v>186</v>
      </c>
      <c r="G14" s="351" t="s">
        <v>607</v>
      </c>
      <c r="H14" s="352"/>
      <c r="I14" s="353"/>
      <c r="J14" s="353"/>
      <c r="K14" s="353"/>
      <c r="L14" s="353"/>
      <c r="M14" s="353"/>
      <c r="N14" s="353"/>
      <c r="O14" s="353"/>
      <c r="P14" s="353"/>
      <c r="Q14" s="354"/>
    </row>
    <row r="15" spans="2:19" ht="13.5" thickBot="1" x14ac:dyDescent="0.25">
      <c r="B15" s="355" t="s">
        <v>951</v>
      </c>
      <c r="C15" s="742"/>
      <c r="D15" s="356" t="s">
        <v>2105</v>
      </c>
      <c r="E15" s="357"/>
      <c r="F15" s="358"/>
      <c r="G15" s="359"/>
      <c r="H15" s="360"/>
      <c r="I15" s="361"/>
      <c r="J15" s="361"/>
      <c r="K15" s="361"/>
      <c r="L15" s="361"/>
      <c r="M15" s="361"/>
      <c r="N15" s="361"/>
      <c r="O15" s="361"/>
      <c r="P15" s="361"/>
      <c r="Q15" s="362"/>
    </row>
    <row r="16" spans="2:19" ht="13.5" thickBot="1" x14ac:dyDescent="0.25">
      <c r="B16" s="363" t="s">
        <v>453</v>
      </c>
      <c r="C16" s="743" t="s">
        <v>826</v>
      </c>
      <c r="D16" s="364" t="s">
        <v>176</v>
      </c>
      <c r="E16" s="831"/>
      <c r="F16" s="365" t="s">
        <v>5</v>
      </c>
      <c r="G16" s="366" t="s">
        <v>6</v>
      </c>
      <c r="H16" s="276" t="s">
        <v>7</v>
      </c>
      <c r="I16" s="277"/>
      <c r="J16" s="278"/>
      <c r="K16" s="277"/>
      <c r="L16" s="367" t="s">
        <v>179</v>
      </c>
      <c r="M16" s="439" t="s">
        <v>8</v>
      </c>
      <c r="N16" s="279"/>
      <c r="O16" s="279"/>
      <c r="P16" s="279"/>
      <c r="Q16" s="280"/>
      <c r="R16" s="368" t="s">
        <v>454</v>
      </c>
      <c r="S16" s="369"/>
    </row>
    <row r="17" spans="2:19" ht="38.25" thickBot="1" x14ac:dyDescent="0.25">
      <c r="B17" s="370" t="s">
        <v>188</v>
      </c>
      <c r="C17" s="744"/>
      <c r="D17" s="372"/>
      <c r="E17" s="832"/>
      <c r="F17" s="620" t="s">
        <v>177</v>
      </c>
      <c r="G17" s="621" t="s">
        <v>178</v>
      </c>
      <c r="H17" s="622" t="s">
        <v>9</v>
      </c>
      <c r="I17" s="623" t="s">
        <v>10</v>
      </c>
      <c r="J17" s="623" t="s">
        <v>11</v>
      </c>
      <c r="K17" s="624" t="s">
        <v>12</v>
      </c>
      <c r="L17" s="625"/>
      <c r="M17" s="281" t="s">
        <v>13</v>
      </c>
      <c r="N17" s="282" t="s">
        <v>14</v>
      </c>
      <c r="O17" s="283" t="s">
        <v>930</v>
      </c>
      <c r="P17" s="284" t="s">
        <v>15</v>
      </c>
      <c r="Q17" s="285" t="s">
        <v>182</v>
      </c>
      <c r="R17" s="286" t="s">
        <v>455</v>
      </c>
      <c r="S17" s="286" t="s">
        <v>457</v>
      </c>
    </row>
    <row r="18" spans="2:19" ht="13.5" hidden="1" thickBot="1" x14ac:dyDescent="0.25">
      <c r="B18" s="607" t="s">
        <v>607</v>
      </c>
      <c r="C18" s="633"/>
      <c r="D18" s="634" t="s">
        <v>477</v>
      </c>
      <c r="E18" s="635"/>
      <c r="F18" s="626"/>
      <c r="G18" s="627"/>
      <c r="H18" s="628"/>
      <c r="I18" s="605"/>
      <c r="J18" s="605"/>
      <c r="K18" s="605"/>
      <c r="L18" s="605" t="s">
        <v>755</v>
      </c>
      <c r="M18" s="375"/>
      <c r="N18" s="376"/>
      <c r="O18" s="376"/>
      <c r="P18" s="294"/>
      <c r="Q18" s="295">
        <f>SUM(P19:P67)</f>
        <v>0</v>
      </c>
      <c r="R18" s="377" t="str">
        <f>IF(Q18&gt;0,"X","")</f>
        <v/>
      </c>
      <c r="S18" s="378" t="str">
        <f>IF(R18="x","x",IF(R18="y","x",IF(R18="xy","x",IF(P18&gt;0,"x",""))))</f>
        <v/>
      </c>
    </row>
    <row r="19" spans="2:19" hidden="1" x14ac:dyDescent="0.2">
      <c r="B19" s="768" t="s">
        <v>1922</v>
      </c>
      <c r="C19" s="745" t="s">
        <v>207</v>
      </c>
      <c r="D19" s="769" t="s">
        <v>282</v>
      </c>
      <c r="E19" s="770"/>
      <c r="F19" s="725"/>
      <c r="G19" s="726"/>
      <c r="H19" s="727">
        <v>0</v>
      </c>
      <c r="I19" s="669">
        <v>40.260000000000005</v>
      </c>
      <c r="J19" s="669">
        <f>IF(ISBLANK(I19),"",SUM(H19:I19))</f>
        <v>40.260000000000005</v>
      </c>
      <c r="K19" s="728">
        <f t="shared" ref="K19:K41" si="0">IF(ISBLANK(I19),0,ROUND(J19*(1+$F$10)*(1+$F$11*E19),2))</f>
        <v>51.03</v>
      </c>
      <c r="L19" s="630" t="s">
        <v>19</v>
      </c>
      <c r="M19" s="30"/>
      <c r="N19" s="30"/>
      <c r="O19" s="379">
        <f t="shared" ref="O19:O41" si="1">IF(ISBLANK(M19),0,ROUND(K19*M19,2))</f>
        <v>0</v>
      </c>
      <c r="P19" s="287">
        <f t="shared" ref="P19:P41" si="2">IF(ISBLANK(N19),0,ROUND(M19*N19,2))</f>
        <v>0</v>
      </c>
      <c r="Q19" s="288"/>
      <c r="R19" s="243"/>
      <c r="S19" s="378" t="str">
        <f t="shared" ref="S19:S86" si="3">IF(R19="x","x",IF(R19="y","x",IF(R19="xy","x",IF(P19&gt;0,"x",""))))</f>
        <v/>
      </c>
    </row>
    <row r="20" spans="2:19" hidden="1" x14ac:dyDescent="0.2">
      <c r="B20" s="771" t="s">
        <v>1923</v>
      </c>
      <c r="C20" s="596" t="s">
        <v>207</v>
      </c>
      <c r="D20" s="764" t="s">
        <v>283</v>
      </c>
      <c r="E20" s="765"/>
      <c r="F20" s="671"/>
      <c r="G20" s="701"/>
      <c r="H20" s="729">
        <v>0</v>
      </c>
      <c r="I20" s="669">
        <v>34.72</v>
      </c>
      <c r="J20" s="380">
        <f>IF(ISBLANK(I20),"",SUM(H20:I20))</f>
        <v>34.72</v>
      </c>
      <c r="K20" s="381">
        <f t="shared" si="0"/>
        <v>44.01</v>
      </c>
      <c r="L20" s="594" t="s">
        <v>19</v>
      </c>
      <c r="M20" s="30"/>
      <c r="N20" s="30"/>
      <c r="O20" s="379">
        <f t="shared" si="1"/>
        <v>0</v>
      </c>
      <c r="P20" s="287">
        <f t="shared" si="2"/>
        <v>0</v>
      </c>
      <c r="Q20" s="288"/>
      <c r="R20" s="243"/>
      <c r="S20" s="378" t="str">
        <f t="shared" si="3"/>
        <v/>
      </c>
    </row>
    <row r="21" spans="2:19" hidden="1" x14ac:dyDescent="0.2">
      <c r="B21" s="771" t="s">
        <v>1924</v>
      </c>
      <c r="C21" s="596" t="s">
        <v>207</v>
      </c>
      <c r="D21" s="383" t="s">
        <v>201</v>
      </c>
      <c r="E21" s="704"/>
      <c r="F21" s="661"/>
      <c r="G21" s="701"/>
      <c r="H21" s="729"/>
      <c r="I21" s="669">
        <v>287.76000000000005</v>
      </c>
      <c r="J21" s="380">
        <f>IF(ISBLANK(I21),"",SUM(H21:I21))</f>
        <v>287.76000000000005</v>
      </c>
      <c r="K21" s="381">
        <f t="shared" si="0"/>
        <v>364.74</v>
      </c>
      <c r="L21" s="594" t="s">
        <v>16</v>
      </c>
      <c r="M21" s="30"/>
      <c r="N21" s="30"/>
      <c r="O21" s="379">
        <f t="shared" si="1"/>
        <v>0</v>
      </c>
      <c r="P21" s="287">
        <f t="shared" si="2"/>
        <v>0</v>
      </c>
      <c r="Q21" s="288"/>
      <c r="R21" s="243"/>
      <c r="S21" s="378" t="str">
        <f t="shared" si="3"/>
        <v/>
      </c>
    </row>
    <row r="22" spans="2:19" hidden="1" x14ac:dyDescent="0.2">
      <c r="B22" s="771" t="s">
        <v>1925</v>
      </c>
      <c r="C22" s="596" t="s">
        <v>207</v>
      </c>
      <c r="D22" s="383" t="s">
        <v>200</v>
      </c>
      <c r="E22" s="704"/>
      <c r="F22" s="661"/>
      <c r="G22" s="701"/>
      <c r="H22" s="729"/>
      <c r="I22" s="669">
        <v>137.65</v>
      </c>
      <c r="J22" s="380">
        <f>IF(ISBLANK(I22),"",SUM(H22:I22))</f>
        <v>137.65</v>
      </c>
      <c r="K22" s="381">
        <f t="shared" si="0"/>
        <v>174.47</v>
      </c>
      <c r="L22" s="594" t="s">
        <v>16</v>
      </c>
      <c r="M22" s="30"/>
      <c r="N22" s="30"/>
      <c r="O22" s="287">
        <f t="shared" si="1"/>
        <v>0</v>
      </c>
      <c r="P22" s="287">
        <f t="shared" si="2"/>
        <v>0</v>
      </c>
      <c r="Q22" s="288"/>
      <c r="R22" s="243"/>
      <c r="S22" s="378" t="str">
        <f t="shared" si="3"/>
        <v/>
      </c>
    </row>
    <row r="23" spans="2:19" hidden="1" x14ac:dyDescent="0.2">
      <c r="B23" s="771">
        <v>512000</v>
      </c>
      <c r="C23" s="596" t="s">
        <v>207</v>
      </c>
      <c r="D23" s="383" t="s">
        <v>202</v>
      </c>
      <c r="E23" s="704"/>
      <c r="F23" s="661">
        <v>1</v>
      </c>
      <c r="G23" s="665">
        <v>1.86</v>
      </c>
      <c r="H23" s="663">
        <f>IF(F23&lt;=30,(1.05*F23+2.18)*G23,((1.05*30+2.18)+0.87*(F23-30))*G23)</f>
        <v>6.0078000000000014</v>
      </c>
      <c r="I23" s="669">
        <v>57.07</v>
      </c>
      <c r="J23" s="380">
        <f t="shared" ref="J23:J24" si="4">IF(ISBLANK(I23),"",SUM(H23:I23))</f>
        <v>63.077800000000003</v>
      </c>
      <c r="K23" s="381">
        <f t="shared" si="0"/>
        <v>79.95</v>
      </c>
      <c r="L23" s="594" t="s">
        <v>16</v>
      </c>
      <c r="M23" s="30"/>
      <c r="N23" s="30"/>
      <c r="O23" s="287">
        <f t="shared" si="1"/>
        <v>0</v>
      </c>
      <c r="P23" s="287">
        <f t="shared" si="2"/>
        <v>0</v>
      </c>
      <c r="Q23" s="288"/>
      <c r="R23" s="243"/>
      <c r="S23" s="378" t="str">
        <f t="shared" si="3"/>
        <v/>
      </c>
    </row>
    <row r="24" spans="2:19" hidden="1" x14ac:dyDescent="0.2">
      <c r="B24" s="771">
        <v>512050</v>
      </c>
      <c r="C24" s="596" t="s">
        <v>207</v>
      </c>
      <c r="D24" s="383" t="s">
        <v>733</v>
      </c>
      <c r="E24" s="704"/>
      <c r="F24" s="661">
        <v>1</v>
      </c>
      <c r="G24" s="665">
        <v>1.86</v>
      </c>
      <c r="H24" s="663">
        <f t="shared" ref="H24:H28" si="5">IF(F24&lt;=30,(1.05*F24+2.18)*G24,((1.05*30+2.18)+0.87*(F24-30))*G24)</f>
        <v>6.0078000000000014</v>
      </c>
      <c r="I24" s="669">
        <v>38.200000000000003</v>
      </c>
      <c r="J24" s="380">
        <f t="shared" si="4"/>
        <v>44.207800000000006</v>
      </c>
      <c r="K24" s="381">
        <f t="shared" si="0"/>
        <v>56.03</v>
      </c>
      <c r="L24" s="594" t="s">
        <v>16</v>
      </c>
      <c r="M24" s="30"/>
      <c r="N24" s="30"/>
      <c r="O24" s="287">
        <f t="shared" si="1"/>
        <v>0</v>
      </c>
      <c r="P24" s="287">
        <f t="shared" si="2"/>
        <v>0</v>
      </c>
      <c r="Q24" s="288"/>
      <c r="R24" s="243"/>
      <c r="S24" s="378" t="str">
        <f t="shared" si="3"/>
        <v/>
      </c>
    </row>
    <row r="25" spans="2:19" hidden="1" x14ac:dyDescent="0.2">
      <c r="B25" s="771" t="s">
        <v>500</v>
      </c>
      <c r="C25" s="596" t="s">
        <v>207</v>
      </c>
      <c r="D25" s="383" t="s">
        <v>502</v>
      </c>
      <c r="E25" s="704"/>
      <c r="F25" s="661">
        <v>10</v>
      </c>
      <c r="G25" s="665">
        <f>ROUND(0.017*2.34,4)</f>
        <v>3.9800000000000002E-2</v>
      </c>
      <c r="H25" s="663">
        <f t="shared" si="5"/>
        <v>0.504664</v>
      </c>
      <c r="I25" s="380">
        <v>18.568544800000002</v>
      </c>
      <c r="J25" s="380">
        <f t="shared" ref="J25:J28" si="6">IF(ISBLANK(I25),"",SUM(H25:I25))</f>
        <v>19.073208800000003</v>
      </c>
      <c r="K25" s="381">
        <f t="shared" si="0"/>
        <v>24.18</v>
      </c>
      <c r="L25" s="594" t="s">
        <v>19</v>
      </c>
      <c r="M25" s="30"/>
      <c r="N25" s="30"/>
      <c r="O25" s="287">
        <f t="shared" si="1"/>
        <v>0</v>
      </c>
      <c r="P25" s="287">
        <f t="shared" si="2"/>
        <v>0</v>
      </c>
      <c r="Q25" s="288"/>
      <c r="R25" s="243"/>
      <c r="S25" s="378" t="str">
        <f t="shared" si="3"/>
        <v/>
      </c>
    </row>
    <row r="26" spans="2:19" hidden="1" x14ac:dyDescent="0.2">
      <c r="B26" s="771" t="s">
        <v>501</v>
      </c>
      <c r="C26" s="596" t="s">
        <v>207</v>
      </c>
      <c r="D26" s="383" t="s">
        <v>757</v>
      </c>
      <c r="E26" s="704"/>
      <c r="F26" s="661">
        <v>10</v>
      </c>
      <c r="G26" s="665">
        <f>ROUND(0.01125*2.34,4)</f>
        <v>2.63E-2</v>
      </c>
      <c r="H26" s="663">
        <f t="shared" si="5"/>
        <v>0.333484</v>
      </c>
      <c r="I26" s="380">
        <v>12.2160896</v>
      </c>
      <c r="J26" s="380">
        <f t="shared" si="6"/>
        <v>12.5495736</v>
      </c>
      <c r="K26" s="381">
        <f t="shared" si="0"/>
        <v>15.91</v>
      </c>
      <c r="L26" s="594" t="s">
        <v>19</v>
      </c>
      <c r="M26" s="30"/>
      <c r="N26" s="30"/>
      <c r="O26" s="287">
        <f t="shared" si="1"/>
        <v>0</v>
      </c>
      <c r="P26" s="287">
        <f t="shared" si="2"/>
        <v>0</v>
      </c>
      <c r="Q26" s="288"/>
      <c r="R26" s="243"/>
      <c r="S26" s="378" t="str">
        <f t="shared" si="3"/>
        <v/>
      </c>
    </row>
    <row r="27" spans="2:19" hidden="1" x14ac:dyDescent="0.2">
      <c r="B27" s="771" t="s">
        <v>503</v>
      </c>
      <c r="C27" s="596" t="s">
        <v>207</v>
      </c>
      <c r="D27" s="383" t="s">
        <v>504</v>
      </c>
      <c r="E27" s="704"/>
      <c r="F27" s="661">
        <v>10</v>
      </c>
      <c r="G27" s="665">
        <f>ROUND(0.014*2.34,4)</f>
        <v>3.2800000000000003E-2</v>
      </c>
      <c r="H27" s="663">
        <f t="shared" si="5"/>
        <v>0.41590400000000005</v>
      </c>
      <c r="I27" s="380">
        <v>15.202363800000001</v>
      </c>
      <c r="J27" s="380">
        <f t="shared" si="6"/>
        <v>15.6182678</v>
      </c>
      <c r="K27" s="381">
        <f t="shared" si="0"/>
        <v>19.8</v>
      </c>
      <c r="L27" s="594" t="s">
        <v>19</v>
      </c>
      <c r="M27" s="30"/>
      <c r="N27" s="30"/>
      <c r="O27" s="287">
        <f t="shared" si="1"/>
        <v>0</v>
      </c>
      <c r="P27" s="287">
        <f t="shared" si="2"/>
        <v>0</v>
      </c>
      <c r="Q27" s="288"/>
      <c r="R27" s="243"/>
      <c r="S27" s="378" t="str">
        <f t="shared" si="3"/>
        <v/>
      </c>
    </row>
    <row r="28" spans="2:19" hidden="1" x14ac:dyDescent="0.2">
      <c r="B28" s="771" t="s">
        <v>1711</v>
      </c>
      <c r="C28" s="596" t="s">
        <v>498</v>
      </c>
      <c r="D28" s="383" t="s">
        <v>505</v>
      </c>
      <c r="E28" s="704"/>
      <c r="F28" s="661">
        <v>10</v>
      </c>
      <c r="G28" s="665">
        <f>ROUND(0.012*1.8,4)</f>
        <v>2.1600000000000001E-2</v>
      </c>
      <c r="H28" s="663">
        <f t="shared" si="5"/>
        <v>0.27388800000000002</v>
      </c>
      <c r="I28" s="380">
        <v>41.73</v>
      </c>
      <c r="J28" s="380">
        <f t="shared" si="6"/>
        <v>42.003887999999996</v>
      </c>
      <c r="K28" s="381">
        <f t="shared" si="0"/>
        <v>53.24</v>
      </c>
      <c r="L28" s="594" t="s">
        <v>19</v>
      </c>
      <c r="M28" s="30"/>
      <c r="N28" s="30"/>
      <c r="O28" s="287">
        <f t="shared" si="1"/>
        <v>0</v>
      </c>
      <c r="P28" s="287">
        <f t="shared" si="2"/>
        <v>0</v>
      </c>
      <c r="Q28" s="288"/>
      <c r="R28" s="243"/>
      <c r="S28" s="378" t="str">
        <f t="shared" si="3"/>
        <v/>
      </c>
    </row>
    <row r="29" spans="2:19" hidden="1" x14ac:dyDescent="0.2">
      <c r="B29" s="771" t="s">
        <v>1712</v>
      </c>
      <c r="C29" s="596" t="s">
        <v>207</v>
      </c>
      <c r="D29" s="764" t="s">
        <v>488</v>
      </c>
      <c r="E29" s="765"/>
      <c r="F29" s="671"/>
      <c r="G29" s="701"/>
      <c r="H29" s="729"/>
      <c r="I29" s="380">
        <v>132.88</v>
      </c>
      <c r="J29" s="380">
        <f t="shared" ref="J29:J32" si="7">IF(ISBLANK(I29),"",SUM(H29:I29))</f>
        <v>132.88</v>
      </c>
      <c r="K29" s="381">
        <f t="shared" si="0"/>
        <v>168.43</v>
      </c>
      <c r="L29" s="594" t="s">
        <v>21</v>
      </c>
      <c r="M29" s="30"/>
      <c r="N29" s="30"/>
      <c r="O29" s="287">
        <f t="shared" si="1"/>
        <v>0</v>
      </c>
      <c r="P29" s="287">
        <f t="shared" si="2"/>
        <v>0</v>
      </c>
      <c r="Q29" s="288"/>
      <c r="R29" s="243"/>
      <c r="S29" s="378" t="str">
        <f t="shared" si="3"/>
        <v/>
      </c>
    </row>
    <row r="30" spans="2:19" hidden="1" x14ac:dyDescent="0.2">
      <c r="B30" s="771" t="s">
        <v>1713</v>
      </c>
      <c r="C30" s="596" t="s">
        <v>207</v>
      </c>
      <c r="D30" s="764" t="s">
        <v>489</v>
      </c>
      <c r="E30" s="765"/>
      <c r="F30" s="671"/>
      <c r="G30" s="701"/>
      <c r="H30" s="729"/>
      <c r="I30" s="380">
        <v>12.290000000000001</v>
      </c>
      <c r="J30" s="380">
        <f t="shared" si="7"/>
        <v>12.290000000000001</v>
      </c>
      <c r="K30" s="381">
        <f t="shared" si="0"/>
        <v>15.58</v>
      </c>
      <c r="L30" s="594" t="s">
        <v>18</v>
      </c>
      <c r="M30" s="30"/>
      <c r="N30" s="30"/>
      <c r="O30" s="287">
        <f t="shared" si="1"/>
        <v>0</v>
      </c>
      <c r="P30" s="287">
        <f t="shared" si="2"/>
        <v>0</v>
      </c>
      <c r="Q30" s="288"/>
      <c r="R30" s="243"/>
      <c r="S30" s="378" t="str">
        <f t="shared" si="3"/>
        <v/>
      </c>
    </row>
    <row r="31" spans="2:19" hidden="1" x14ac:dyDescent="0.2">
      <c r="B31" s="771" t="s">
        <v>1714</v>
      </c>
      <c r="C31" s="596" t="s">
        <v>207</v>
      </c>
      <c r="D31" s="764" t="s">
        <v>295</v>
      </c>
      <c r="E31" s="765"/>
      <c r="F31" s="671"/>
      <c r="G31" s="701"/>
      <c r="H31" s="729"/>
      <c r="I31" s="380">
        <v>17.95</v>
      </c>
      <c r="J31" s="380">
        <f t="shared" si="7"/>
        <v>17.95</v>
      </c>
      <c r="K31" s="381">
        <f t="shared" si="0"/>
        <v>22.75</v>
      </c>
      <c r="L31" s="594" t="s">
        <v>18</v>
      </c>
      <c r="M31" s="30"/>
      <c r="N31" s="30"/>
      <c r="O31" s="287">
        <f t="shared" si="1"/>
        <v>0</v>
      </c>
      <c r="P31" s="384">
        <f t="shared" si="2"/>
        <v>0</v>
      </c>
      <c r="Q31" s="288"/>
      <c r="R31" s="243"/>
      <c r="S31" s="378" t="str">
        <f t="shared" si="3"/>
        <v/>
      </c>
    </row>
    <row r="32" spans="2:19" hidden="1" x14ac:dyDescent="0.2">
      <c r="B32" s="771" t="s">
        <v>1715</v>
      </c>
      <c r="C32" s="596" t="s">
        <v>207</v>
      </c>
      <c r="D32" s="764" t="s">
        <v>490</v>
      </c>
      <c r="E32" s="765"/>
      <c r="F32" s="671"/>
      <c r="G32" s="701"/>
      <c r="H32" s="729"/>
      <c r="I32" s="380">
        <v>2.2199999999999998</v>
      </c>
      <c r="J32" s="380">
        <f t="shared" si="7"/>
        <v>2.2199999999999998</v>
      </c>
      <c r="K32" s="381">
        <f t="shared" si="0"/>
        <v>2.81</v>
      </c>
      <c r="L32" s="594" t="s">
        <v>19</v>
      </c>
      <c r="M32" s="30"/>
      <c r="N32" s="30"/>
      <c r="O32" s="287">
        <f t="shared" si="1"/>
        <v>0</v>
      </c>
      <c r="P32" s="384">
        <f t="shared" si="2"/>
        <v>0</v>
      </c>
      <c r="Q32" s="288"/>
      <c r="R32" s="243"/>
      <c r="S32" s="378" t="str">
        <f t="shared" si="3"/>
        <v/>
      </c>
    </row>
    <row r="33" spans="2:19" ht="25.5" hidden="1" x14ac:dyDescent="0.2">
      <c r="B33" s="771" t="s">
        <v>986</v>
      </c>
      <c r="C33" s="596" t="s">
        <v>1716</v>
      </c>
      <c r="D33" s="383" t="s">
        <v>987</v>
      </c>
      <c r="E33" s="704"/>
      <c r="F33" s="661"/>
      <c r="G33" s="665"/>
      <c r="H33" s="664"/>
      <c r="I33" s="380">
        <v>3199.34</v>
      </c>
      <c r="J33" s="380">
        <f>IF(ISBLANK(I33),"",SUM(H33:I33))</f>
        <v>3199.34</v>
      </c>
      <c r="K33" s="381">
        <f t="shared" si="0"/>
        <v>4055.16</v>
      </c>
      <c r="L33" s="594" t="s">
        <v>21</v>
      </c>
      <c r="M33" s="30"/>
      <c r="N33" s="30"/>
      <c r="O33" s="287">
        <f t="shared" si="1"/>
        <v>0</v>
      </c>
      <c r="P33" s="384">
        <f t="shared" si="2"/>
        <v>0</v>
      </c>
      <c r="Q33" s="288"/>
      <c r="R33" s="377"/>
      <c r="S33" s="378" t="str">
        <f t="shared" si="3"/>
        <v/>
      </c>
    </row>
    <row r="34" spans="2:19" ht="25.5" hidden="1" x14ac:dyDescent="0.2">
      <c r="B34" s="771" t="s">
        <v>1784</v>
      </c>
      <c r="C34" s="596" t="s">
        <v>1716</v>
      </c>
      <c r="D34" s="383" t="s">
        <v>989</v>
      </c>
      <c r="E34" s="704"/>
      <c r="F34" s="661"/>
      <c r="G34" s="665"/>
      <c r="H34" s="664"/>
      <c r="I34" s="380">
        <v>1752.27</v>
      </c>
      <c r="J34" s="380">
        <f>IF(ISBLANK(I34),"",SUM(H34:I34))</f>
        <v>1752.27</v>
      </c>
      <c r="K34" s="381">
        <f t="shared" si="0"/>
        <v>2221</v>
      </c>
      <c r="L34" s="594" t="s">
        <v>21</v>
      </c>
      <c r="M34" s="30"/>
      <c r="N34" s="30"/>
      <c r="O34" s="287">
        <f t="shared" si="1"/>
        <v>0</v>
      </c>
      <c r="P34" s="384">
        <f t="shared" si="2"/>
        <v>0</v>
      </c>
      <c r="Q34" s="288"/>
      <c r="R34" s="385"/>
      <c r="S34" s="378" t="str">
        <f t="shared" si="3"/>
        <v/>
      </c>
    </row>
    <row r="35" spans="2:19" hidden="1" x14ac:dyDescent="0.2">
      <c r="B35" s="771" t="s">
        <v>988</v>
      </c>
      <c r="C35" s="596" t="s">
        <v>1716</v>
      </c>
      <c r="D35" s="383" t="s">
        <v>1717</v>
      </c>
      <c r="E35" s="704"/>
      <c r="F35" s="661"/>
      <c r="G35" s="665"/>
      <c r="H35" s="664"/>
      <c r="I35" s="380">
        <v>112.45</v>
      </c>
      <c r="J35" s="380">
        <f>IF(ISBLANK(I35),"",SUM(H35:I35))</f>
        <v>112.45</v>
      </c>
      <c r="K35" s="381">
        <f t="shared" si="0"/>
        <v>142.53</v>
      </c>
      <c r="L35" s="594" t="s">
        <v>21</v>
      </c>
      <c r="M35" s="30"/>
      <c r="N35" s="30"/>
      <c r="O35" s="287">
        <f t="shared" si="1"/>
        <v>0</v>
      </c>
      <c r="P35" s="384">
        <f t="shared" si="2"/>
        <v>0</v>
      </c>
      <c r="Q35" s="288"/>
      <c r="R35" s="385"/>
      <c r="S35" s="378" t="str">
        <f t="shared" si="3"/>
        <v/>
      </c>
    </row>
    <row r="36" spans="2:19" hidden="1" x14ac:dyDescent="0.2">
      <c r="B36" s="771" t="s">
        <v>1718</v>
      </c>
      <c r="C36" s="596" t="s">
        <v>207</v>
      </c>
      <c r="D36" s="764" t="s">
        <v>491</v>
      </c>
      <c r="E36" s="765"/>
      <c r="F36" s="671"/>
      <c r="G36" s="701"/>
      <c r="H36" s="729"/>
      <c r="I36" s="380">
        <v>11.64</v>
      </c>
      <c r="J36" s="380">
        <f>IF(ISBLANK(I36),"",SUM(H36:I36))</f>
        <v>11.64</v>
      </c>
      <c r="K36" s="381">
        <f t="shared" si="0"/>
        <v>14.75</v>
      </c>
      <c r="L36" s="594" t="s">
        <v>19</v>
      </c>
      <c r="M36" s="30"/>
      <c r="N36" s="30"/>
      <c r="O36" s="287">
        <f t="shared" si="1"/>
        <v>0</v>
      </c>
      <c r="P36" s="384">
        <f t="shared" si="2"/>
        <v>0</v>
      </c>
      <c r="Q36" s="288"/>
      <c r="R36" s="243"/>
      <c r="S36" s="378" t="str">
        <f t="shared" si="3"/>
        <v/>
      </c>
    </row>
    <row r="37" spans="2:19" hidden="1" x14ac:dyDescent="0.2">
      <c r="B37" s="771" t="s">
        <v>1719</v>
      </c>
      <c r="C37" s="596" t="s">
        <v>207</v>
      </c>
      <c r="D37" s="764" t="s">
        <v>281</v>
      </c>
      <c r="E37" s="765"/>
      <c r="F37" s="671"/>
      <c r="G37" s="701"/>
      <c r="H37" s="729"/>
      <c r="I37" s="380">
        <v>32.15</v>
      </c>
      <c r="J37" s="380">
        <f>IF(ISBLANK(I37),"",SUM(H37:I37))</f>
        <v>32.15</v>
      </c>
      <c r="K37" s="381">
        <f t="shared" si="0"/>
        <v>40.75</v>
      </c>
      <c r="L37" s="594" t="s">
        <v>19</v>
      </c>
      <c r="M37" s="30"/>
      <c r="N37" s="30"/>
      <c r="O37" s="287">
        <f t="shared" si="1"/>
        <v>0</v>
      </c>
      <c r="P37" s="384">
        <f t="shared" si="2"/>
        <v>0</v>
      </c>
      <c r="Q37" s="288"/>
      <c r="R37" s="243"/>
      <c r="S37" s="378" t="str">
        <f t="shared" si="3"/>
        <v/>
      </c>
    </row>
    <row r="38" spans="2:19" hidden="1" x14ac:dyDescent="0.2">
      <c r="B38" s="771">
        <v>100981</v>
      </c>
      <c r="C38" s="596" t="s">
        <v>817</v>
      </c>
      <c r="D38" s="764" t="s">
        <v>731</v>
      </c>
      <c r="E38" s="765"/>
      <c r="F38" s="671"/>
      <c r="G38" s="701"/>
      <c r="H38" s="729"/>
      <c r="I38" s="380">
        <v>8.08</v>
      </c>
      <c r="J38" s="380">
        <f t="shared" ref="J38:J39" si="8">IF(ISBLANK(I38),"",SUM(H38:I38))</f>
        <v>8.08</v>
      </c>
      <c r="K38" s="381">
        <f t="shared" si="0"/>
        <v>10.24</v>
      </c>
      <c r="L38" s="594" t="s">
        <v>16</v>
      </c>
      <c r="M38" s="30"/>
      <c r="N38" s="30"/>
      <c r="O38" s="287">
        <f t="shared" si="1"/>
        <v>0</v>
      </c>
      <c r="P38" s="384">
        <f t="shared" si="2"/>
        <v>0</v>
      </c>
      <c r="Q38" s="288"/>
      <c r="R38" s="243"/>
      <c r="S38" s="378" t="str">
        <f t="shared" si="3"/>
        <v/>
      </c>
    </row>
    <row r="39" spans="2:19" hidden="1" x14ac:dyDescent="0.2">
      <c r="B39" s="771" t="s">
        <v>1786</v>
      </c>
      <c r="C39" s="596" t="s">
        <v>817</v>
      </c>
      <c r="D39" s="764" t="s">
        <v>1787</v>
      </c>
      <c r="E39" s="765"/>
      <c r="F39" s="671"/>
      <c r="G39" s="701"/>
      <c r="H39" s="729"/>
      <c r="I39" s="380">
        <v>175.28</v>
      </c>
      <c r="J39" s="380">
        <f t="shared" si="8"/>
        <v>175.28</v>
      </c>
      <c r="K39" s="381">
        <f t="shared" si="0"/>
        <v>222.17</v>
      </c>
      <c r="L39" s="594" t="s">
        <v>16</v>
      </c>
      <c r="M39" s="30"/>
      <c r="N39" s="30"/>
      <c r="O39" s="287">
        <f t="shared" si="1"/>
        <v>0</v>
      </c>
      <c r="P39" s="384">
        <f t="shared" si="2"/>
        <v>0</v>
      </c>
      <c r="Q39" s="288"/>
      <c r="R39" s="243"/>
      <c r="S39" s="378" t="str">
        <f t="shared" si="3"/>
        <v/>
      </c>
    </row>
    <row r="40" spans="2:19" hidden="1" x14ac:dyDescent="0.2">
      <c r="B40" s="771" t="s">
        <v>1788</v>
      </c>
      <c r="C40" s="596" t="s">
        <v>817</v>
      </c>
      <c r="D40" s="764" t="s">
        <v>1789</v>
      </c>
      <c r="E40" s="765"/>
      <c r="F40" s="671"/>
      <c r="G40" s="701"/>
      <c r="H40" s="729"/>
      <c r="I40" s="380">
        <v>107.58</v>
      </c>
      <c r="J40" s="380">
        <f>IF(ISBLANK(I40),"",SUM(H40:I40))</f>
        <v>107.58</v>
      </c>
      <c r="K40" s="381">
        <f t="shared" si="0"/>
        <v>136.36000000000001</v>
      </c>
      <c r="L40" s="594" t="s">
        <v>16</v>
      </c>
      <c r="M40" s="30"/>
      <c r="N40" s="30"/>
      <c r="O40" s="287">
        <f t="shared" ref="O40" si="9">IF(ISBLANK(M40),0,ROUND(K40*M40,2))</f>
        <v>0</v>
      </c>
      <c r="P40" s="384">
        <f t="shared" ref="P40" si="10">IF(ISBLANK(N40),0,ROUND(M40*N40,2))</f>
        <v>0</v>
      </c>
      <c r="Q40" s="288"/>
      <c r="R40" s="243"/>
      <c r="S40" s="378" t="str">
        <f t="shared" ref="S40" si="11">IF(R40="x","x",IF(R40="y","x",IF(R40="xy","x",IF(P40&gt;0,"x",""))))</f>
        <v/>
      </c>
    </row>
    <row r="41" spans="2:19" hidden="1" x14ac:dyDescent="0.2">
      <c r="B41" s="771" t="s">
        <v>1926</v>
      </c>
      <c r="C41" s="596" t="s">
        <v>207</v>
      </c>
      <c r="D41" s="764" t="s">
        <v>515</v>
      </c>
      <c r="E41" s="765"/>
      <c r="F41" s="671"/>
      <c r="G41" s="701"/>
      <c r="H41" s="729"/>
      <c r="I41" s="380">
        <v>169.87</v>
      </c>
      <c r="J41" s="380">
        <f>IF(ISBLANK(I41),"",SUM(H41:I41))</f>
        <v>169.87</v>
      </c>
      <c r="K41" s="381">
        <f t="shared" si="0"/>
        <v>215.31</v>
      </c>
      <c r="L41" s="594" t="s">
        <v>16</v>
      </c>
      <c r="M41" s="30"/>
      <c r="N41" s="30"/>
      <c r="O41" s="287">
        <f t="shared" si="1"/>
        <v>0</v>
      </c>
      <c r="P41" s="384">
        <f t="shared" si="2"/>
        <v>0</v>
      </c>
      <c r="Q41" s="288"/>
      <c r="R41" s="243"/>
      <c r="S41" s="378" t="str">
        <f t="shared" si="3"/>
        <v/>
      </c>
    </row>
    <row r="42" spans="2:19" hidden="1" x14ac:dyDescent="0.2">
      <c r="B42" s="608" t="s">
        <v>188</v>
      </c>
      <c r="C42" s="638"/>
      <c r="D42" s="386" t="s">
        <v>478</v>
      </c>
      <c r="E42" s="387"/>
      <c r="F42" s="388"/>
      <c r="G42" s="389"/>
      <c r="H42" s="390"/>
      <c r="I42" s="391"/>
      <c r="J42" s="391"/>
      <c r="K42" s="391"/>
      <c r="L42" s="391" t="s">
        <v>755</v>
      </c>
      <c r="M42" s="390"/>
      <c r="N42" s="391"/>
      <c r="O42" s="391"/>
      <c r="P42" s="392"/>
      <c r="Q42" s="288"/>
      <c r="R42" s="377" t="str">
        <f>IF(SUM(P43:P67)&gt;0,"y","")</f>
        <v/>
      </c>
      <c r="S42" s="378" t="str">
        <f t="shared" si="3"/>
        <v/>
      </c>
    </row>
    <row r="43" spans="2:19" hidden="1" x14ac:dyDescent="0.2">
      <c r="B43" s="609" t="s">
        <v>188</v>
      </c>
      <c r="C43" s="746" t="s">
        <v>188</v>
      </c>
      <c r="D43" s="393"/>
      <c r="E43" s="394"/>
      <c r="F43" s="395"/>
      <c r="G43" s="396"/>
      <c r="H43" s="395"/>
      <c r="I43" s="397"/>
      <c r="J43" s="398"/>
      <c r="K43" s="399">
        <f t="shared" ref="K43:K67" si="12">IF(ISBLANK(J43),0,ROUND(J43*(1+$F$10)*(1+$F$11*E43),2))</f>
        <v>0</v>
      </c>
      <c r="L43" s="400" t="s">
        <v>755</v>
      </c>
      <c r="M43" s="30"/>
      <c r="N43" s="30"/>
      <c r="O43" s="287">
        <f t="shared" ref="O43:O67" si="13">IF(ISBLANK(M43),0,ROUND(K43*M43,2))</f>
        <v>0</v>
      </c>
      <c r="P43" s="384">
        <f t="shared" ref="P43:P67" si="14">IF(ISBLANK(N43),0,ROUND(M43*N43,2))</f>
        <v>0</v>
      </c>
      <c r="Q43" s="288"/>
      <c r="R43" s="243"/>
      <c r="S43" s="378" t="str">
        <f t="shared" si="3"/>
        <v/>
      </c>
    </row>
    <row r="44" spans="2:19" hidden="1" x14ac:dyDescent="0.2">
      <c r="B44" s="609" t="s">
        <v>188</v>
      </c>
      <c r="C44" s="746" t="s">
        <v>188</v>
      </c>
      <c r="D44" s="401"/>
      <c r="E44" s="394"/>
      <c r="F44" s="402"/>
      <c r="G44" s="396"/>
      <c r="H44" s="395"/>
      <c r="I44" s="397"/>
      <c r="J44" s="398"/>
      <c r="K44" s="403">
        <f t="shared" si="12"/>
        <v>0</v>
      </c>
      <c r="L44" s="400" t="s">
        <v>755</v>
      </c>
      <c r="M44" s="30"/>
      <c r="N44" s="30"/>
      <c r="O44" s="287">
        <f>IF(ISBLANK(M44),0,ROUND(K44*M44,2))</f>
        <v>0</v>
      </c>
      <c r="P44" s="287">
        <f t="shared" si="14"/>
        <v>0</v>
      </c>
      <c r="Q44" s="288"/>
      <c r="R44" s="243"/>
      <c r="S44" s="378" t="str">
        <f t="shared" si="3"/>
        <v/>
      </c>
    </row>
    <row r="45" spans="2:19" hidden="1" x14ac:dyDescent="0.2">
      <c r="B45" s="609" t="s">
        <v>188</v>
      </c>
      <c r="C45" s="746" t="s">
        <v>188</v>
      </c>
      <c r="D45" s="401"/>
      <c r="E45" s="394"/>
      <c r="F45" s="402"/>
      <c r="G45" s="396"/>
      <c r="H45" s="395"/>
      <c r="I45" s="397"/>
      <c r="J45" s="398"/>
      <c r="K45" s="403">
        <f t="shared" si="12"/>
        <v>0</v>
      </c>
      <c r="L45" s="400" t="s">
        <v>755</v>
      </c>
      <c r="M45" s="30"/>
      <c r="N45" s="30"/>
      <c r="O45" s="287">
        <f t="shared" si="13"/>
        <v>0</v>
      </c>
      <c r="P45" s="287">
        <f t="shared" si="14"/>
        <v>0</v>
      </c>
      <c r="Q45" s="288"/>
      <c r="R45" s="243"/>
      <c r="S45" s="378" t="str">
        <f t="shared" si="3"/>
        <v/>
      </c>
    </row>
    <row r="46" spans="2:19" hidden="1" x14ac:dyDescent="0.2">
      <c r="B46" s="609" t="s">
        <v>188</v>
      </c>
      <c r="C46" s="746" t="s">
        <v>188</v>
      </c>
      <c r="D46" s="401"/>
      <c r="E46" s="394"/>
      <c r="F46" s="402"/>
      <c r="G46" s="396"/>
      <c r="H46" s="395"/>
      <c r="I46" s="397"/>
      <c r="J46" s="398"/>
      <c r="K46" s="403">
        <f t="shared" si="12"/>
        <v>0</v>
      </c>
      <c r="L46" s="400" t="s">
        <v>755</v>
      </c>
      <c r="M46" s="30"/>
      <c r="N46" s="30"/>
      <c r="O46" s="287">
        <f t="shared" si="13"/>
        <v>0</v>
      </c>
      <c r="P46" s="287">
        <f t="shared" si="14"/>
        <v>0</v>
      </c>
      <c r="Q46" s="288"/>
      <c r="R46" s="243"/>
      <c r="S46" s="378" t="str">
        <f t="shared" si="3"/>
        <v/>
      </c>
    </row>
    <row r="47" spans="2:19" hidden="1" x14ac:dyDescent="0.2">
      <c r="B47" s="609" t="s">
        <v>188</v>
      </c>
      <c r="C47" s="746" t="s">
        <v>188</v>
      </c>
      <c r="D47" s="401"/>
      <c r="E47" s="394"/>
      <c r="F47" s="402"/>
      <c r="G47" s="396"/>
      <c r="H47" s="395"/>
      <c r="I47" s="397"/>
      <c r="J47" s="398"/>
      <c r="K47" s="403">
        <f t="shared" si="12"/>
        <v>0</v>
      </c>
      <c r="L47" s="400" t="s">
        <v>755</v>
      </c>
      <c r="M47" s="30"/>
      <c r="N47" s="30"/>
      <c r="O47" s="287">
        <f t="shared" si="13"/>
        <v>0</v>
      </c>
      <c r="P47" s="287">
        <f t="shared" si="14"/>
        <v>0</v>
      </c>
      <c r="Q47" s="288"/>
      <c r="R47" s="243"/>
      <c r="S47" s="378" t="str">
        <f t="shared" si="3"/>
        <v/>
      </c>
    </row>
    <row r="48" spans="2:19" hidden="1" x14ac:dyDescent="0.2">
      <c r="B48" s="609" t="s">
        <v>188</v>
      </c>
      <c r="C48" s="746" t="s">
        <v>188</v>
      </c>
      <c r="D48" s="401"/>
      <c r="E48" s="394"/>
      <c r="F48" s="402"/>
      <c r="G48" s="396"/>
      <c r="H48" s="395"/>
      <c r="I48" s="397"/>
      <c r="J48" s="398"/>
      <c r="K48" s="403">
        <f t="shared" si="12"/>
        <v>0</v>
      </c>
      <c r="L48" s="400" t="s">
        <v>755</v>
      </c>
      <c r="M48" s="30"/>
      <c r="N48" s="30"/>
      <c r="O48" s="287">
        <f t="shared" si="13"/>
        <v>0</v>
      </c>
      <c r="P48" s="287">
        <f t="shared" si="14"/>
        <v>0</v>
      </c>
      <c r="Q48" s="288"/>
      <c r="R48" s="243"/>
      <c r="S48" s="378" t="str">
        <f t="shared" si="3"/>
        <v/>
      </c>
    </row>
    <row r="49" spans="2:19" hidden="1" x14ac:dyDescent="0.2">
      <c r="B49" s="609" t="s">
        <v>188</v>
      </c>
      <c r="C49" s="746" t="s">
        <v>188</v>
      </c>
      <c r="D49" s="401"/>
      <c r="E49" s="394"/>
      <c r="F49" s="402"/>
      <c r="G49" s="396"/>
      <c r="H49" s="395"/>
      <c r="I49" s="397"/>
      <c r="J49" s="398"/>
      <c r="K49" s="403">
        <f t="shared" si="12"/>
        <v>0</v>
      </c>
      <c r="L49" s="400" t="s">
        <v>755</v>
      </c>
      <c r="M49" s="30"/>
      <c r="N49" s="30"/>
      <c r="O49" s="287">
        <f t="shared" si="13"/>
        <v>0</v>
      </c>
      <c r="P49" s="287">
        <f t="shared" si="14"/>
        <v>0</v>
      </c>
      <c r="Q49" s="288"/>
      <c r="R49" s="243"/>
      <c r="S49" s="378" t="str">
        <f t="shared" si="3"/>
        <v/>
      </c>
    </row>
    <row r="50" spans="2:19" hidden="1" x14ac:dyDescent="0.2">
      <c r="B50" s="609" t="s">
        <v>188</v>
      </c>
      <c r="C50" s="746" t="s">
        <v>188</v>
      </c>
      <c r="D50" s="401"/>
      <c r="E50" s="394"/>
      <c r="F50" s="402"/>
      <c r="G50" s="396"/>
      <c r="H50" s="395"/>
      <c r="I50" s="397"/>
      <c r="J50" s="398"/>
      <c r="K50" s="403">
        <f t="shared" si="12"/>
        <v>0</v>
      </c>
      <c r="L50" s="400" t="s">
        <v>755</v>
      </c>
      <c r="M50" s="30"/>
      <c r="N50" s="30"/>
      <c r="O50" s="287">
        <f t="shared" si="13"/>
        <v>0</v>
      </c>
      <c r="P50" s="287">
        <f t="shared" si="14"/>
        <v>0</v>
      </c>
      <c r="Q50" s="288"/>
      <c r="R50" s="243"/>
      <c r="S50" s="378" t="str">
        <f t="shared" si="3"/>
        <v/>
      </c>
    </row>
    <row r="51" spans="2:19" hidden="1" x14ac:dyDescent="0.2">
      <c r="B51" s="609" t="s">
        <v>188</v>
      </c>
      <c r="C51" s="746" t="s">
        <v>188</v>
      </c>
      <c r="D51" s="401"/>
      <c r="E51" s="394"/>
      <c r="F51" s="402"/>
      <c r="G51" s="396"/>
      <c r="H51" s="395"/>
      <c r="I51" s="397"/>
      <c r="J51" s="398"/>
      <c r="K51" s="403">
        <f t="shared" si="12"/>
        <v>0</v>
      </c>
      <c r="L51" s="400" t="s">
        <v>755</v>
      </c>
      <c r="M51" s="30"/>
      <c r="N51" s="30"/>
      <c r="O51" s="287">
        <f t="shared" si="13"/>
        <v>0</v>
      </c>
      <c r="P51" s="287">
        <f t="shared" si="14"/>
        <v>0</v>
      </c>
      <c r="Q51" s="288"/>
      <c r="R51" s="243"/>
      <c r="S51" s="378" t="str">
        <f t="shared" si="3"/>
        <v/>
      </c>
    </row>
    <row r="52" spans="2:19" hidden="1" x14ac:dyDescent="0.2">
      <c r="B52" s="609" t="s">
        <v>188</v>
      </c>
      <c r="C52" s="746" t="s">
        <v>188</v>
      </c>
      <c r="D52" s="401"/>
      <c r="E52" s="394"/>
      <c r="F52" s="402"/>
      <c r="G52" s="396"/>
      <c r="H52" s="395"/>
      <c r="I52" s="397"/>
      <c r="J52" s="398"/>
      <c r="K52" s="403">
        <f t="shared" si="12"/>
        <v>0</v>
      </c>
      <c r="L52" s="400" t="s">
        <v>755</v>
      </c>
      <c r="M52" s="30"/>
      <c r="N52" s="30"/>
      <c r="O52" s="287">
        <f t="shared" si="13"/>
        <v>0</v>
      </c>
      <c r="P52" s="287">
        <f t="shared" si="14"/>
        <v>0</v>
      </c>
      <c r="Q52" s="288"/>
      <c r="R52" s="243"/>
      <c r="S52" s="378" t="str">
        <f t="shared" si="3"/>
        <v/>
      </c>
    </row>
    <row r="53" spans="2:19" hidden="1" x14ac:dyDescent="0.2">
      <c r="B53" s="609" t="s">
        <v>188</v>
      </c>
      <c r="C53" s="746" t="s">
        <v>188</v>
      </c>
      <c r="D53" s="401"/>
      <c r="E53" s="394"/>
      <c r="F53" s="402"/>
      <c r="G53" s="396"/>
      <c r="H53" s="395"/>
      <c r="I53" s="397"/>
      <c r="J53" s="398"/>
      <c r="K53" s="403">
        <f t="shared" si="12"/>
        <v>0</v>
      </c>
      <c r="L53" s="400" t="s">
        <v>755</v>
      </c>
      <c r="M53" s="30"/>
      <c r="N53" s="30"/>
      <c r="O53" s="287">
        <f t="shared" si="13"/>
        <v>0</v>
      </c>
      <c r="P53" s="287">
        <f t="shared" si="14"/>
        <v>0</v>
      </c>
      <c r="Q53" s="288"/>
      <c r="R53" s="243"/>
      <c r="S53" s="378" t="str">
        <f t="shared" si="3"/>
        <v/>
      </c>
    </row>
    <row r="54" spans="2:19" hidden="1" x14ac:dyDescent="0.2">
      <c r="B54" s="609" t="s">
        <v>188</v>
      </c>
      <c r="C54" s="746" t="s">
        <v>188</v>
      </c>
      <c r="D54" s="401"/>
      <c r="E54" s="394"/>
      <c r="F54" s="402"/>
      <c r="G54" s="396"/>
      <c r="H54" s="395"/>
      <c r="I54" s="397"/>
      <c r="J54" s="398"/>
      <c r="K54" s="403">
        <f t="shared" si="12"/>
        <v>0</v>
      </c>
      <c r="L54" s="400" t="s">
        <v>755</v>
      </c>
      <c r="M54" s="30"/>
      <c r="N54" s="30"/>
      <c r="O54" s="287">
        <f t="shared" si="13"/>
        <v>0</v>
      </c>
      <c r="P54" s="287">
        <f t="shared" si="14"/>
        <v>0</v>
      </c>
      <c r="Q54" s="288"/>
      <c r="R54" s="243"/>
      <c r="S54" s="378" t="str">
        <f t="shared" si="3"/>
        <v/>
      </c>
    </row>
    <row r="55" spans="2:19" hidden="1" x14ac:dyDescent="0.2">
      <c r="B55" s="609" t="s">
        <v>188</v>
      </c>
      <c r="C55" s="746" t="s">
        <v>188</v>
      </c>
      <c r="D55" s="401"/>
      <c r="E55" s="394"/>
      <c r="F55" s="402"/>
      <c r="G55" s="396"/>
      <c r="H55" s="395"/>
      <c r="I55" s="397"/>
      <c r="J55" s="398"/>
      <c r="K55" s="403">
        <f t="shared" si="12"/>
        <v>0</v>
      </c>
      <c r="L55" s="400" t="s">
        <v>755</v>
      </c>
      <c r="M55" s="30"/>
      <c r="N55" s="30"/>
      <c r="O55" s="287">
        <f t="shared" si="13"/>
        <v>0</v>
      </c>
      <c r="P55" s="287">
        <f t="shared" si="14"/>
        <v>0</v>
      </c>
      <c r="Q55" s="288"/>
      <c r="R55" s="243"/>
      <c r="S55" s="378" t="str">
        <f t="shared" si="3"/>
        <v/>
      </c>
    </row>
    <row r="56" spans="2:19" hidden="1" x14ac:dyDescent="0.2">
      <c r="B56" s="609" t="s">
        <v>188</v>
      </c>
      <c r="C56" s="746" t="s">
        <v>188</v>
      </c>
      <c r="D56" s="401"/>
      <c r="E56" s="394"/>
      <c r="F56" s="402"/>
      <c r="G56" s="396"/>
      <c r="H56" s="395"/>
      <c r="I56" s="397"/>
      <c r="J56" s="398"/>
      <c r="K56" s="403">
        <f t="shared" si="12"/>
        <v>0</v>
      </c>
      <c r="L56" s="400" t="s">
        <v>755</v>
      </c>
      <c r="M56" s="30"/>
      <c r="N56" s="30"/>
      <c r="O56" s="287">
        <f t="shared" si="13"/>
        <v>0</v>
      </c>
      <c r="P56" s="287">
        <f t="shared" si="14"/>
        <v>0</v>
      </c>
      <c r="Q56" s="288"/>
      <c r="R56" s="243"/>
      <c r="S56" s="378" t="str">
        <f t="shared" si="3"/>
        <v/>
      </c>
    </row>
    <row r="57" spans="2:19" hidden="1" x14ac:dyDescent="0.2">
      <c r="B57" s="609" t="s">
        <v>188</v>
      </c>
      <c r="C57" s="746" t="s">
        <v>188</v>
      </c>
      <c r="D57" s="401"/>
      <c r="E57" s="394"/>
      <c r="F57" s="402"/>
      <c r="G57" s="396"/>
      <c r="H57" s="395"/>
      <c r="I57" s="397"/>
      <c r="J57" s="398"/>
      <c r="K57" s="403">
        <f t="shared" si="12"/>
        <v>0</v>
      </c>
      <c r="L57" s="400" t="s">
        <v>755</v>
      </c>
      <c r="M57" s="30"/>
      <c r="N57" s="30"/>
      <c r="O57" s="287">
        <f t="shared" si="13"/>
        <v>0</v>
      </c>
      <c r="P57" s="287">
        <f t="shared" si="14"/>
        <v>0</v>
      </c>
      <c r="Q57" s="288"/>
      <c r="R57" s="243"/>
      <c r="S57" s="378" t="str">
        <f t="shared" si="3"/>
        <v/>
      </c>
    </row>
    <row r="58" spans="2:19" hidden="1" x14ac:dyDescent="0.2">
      <c r="B58" s="609" t="s">
        <v>188</v>
      </c>
      <c r="C58" s="746" t="s">
        <v>188</v>
      </c>
      <c r="D58" s="401"/>
      <c r="E58" s="394"/>
      <c r="F58" s="402"/>
      <c r="G58" s="396"/>
      <c r="H58" s="395"/>
      <c r="I58" s="397"/>
      <c r="J58" s="398"/>
      <c r="K58" s="403">
        <f t="shared" si="12"/>
        <v>0</v>
      </c>
      <c r="L58" s="400" t="s">
        <v>755</v>
      </c>
      <c r="M58" s="30"/>
      <c r="N58" s="30"/>
      <c r="O58" s="287">
        <f t="shared" si="13"/>
        <v>0</v>
      </c>
      <c r="P58" s="287">
        <f t="shared" si="14"/>
        <v>0</v>
      </c>
      <c r="Q58" s="288"/>
      <c r="R58" s="243"/>
      <c r="S58" s="378" t="str">
        <f t="shared" si="3"/>
        <v/>
      </c>
    </row>
    <row r="59" spans="2:19" hidden="1" x14ac:dyDescent="0.2">
      <c r="B59" s="609" t="s">
        <v>188</v>
      </c>
      <c r="C59" s="746" t="s">
        <v>188</v>
      </c>
      <c r="D59" s="401"/>
      <c r="E59" s="394"/>
      <c r="F59" s="402"/>
      <c r="G59" s="396"/>
      <c r="H59" s="395"/>
      <c r="I59" s="397"/>
      <c r="J59" s="398"/>
      <c r="K59" s="403">
        <f t="shared" si="12"/>
        <v>0</v>
      </c>
      <c r="L59" s="400" t="s">
        <v>755</v>
      </c>
      <c r="M59" s="30"/>
      <c r="N59" s="30"/>
      <c r="O59" s="287">
        <f t="shared" si="13"/>
        <v>0</v>
      </c>
      <c r="P59" s="287">
        <f t="shared" si="14"/>
        <v>0</v>
      </c>
      <c r="Q59" s="288"/>
      <c r="R59" s="243"/>
      <c r="S59" s="378" t="str">
        <f t="shared" si="3"/>
        <v/>
      </c>
    </row>
    <row r="60" spans="2:19" hidden="1" x14ac:dyDescent="0.2">
      <c r="B60" s="609" t="s">
        <v>188</v>
      </c>
      <c r="C60" s="746" t="s">
        <v>188</v>
      </c>
      <c r="D60" s="401"/>
      <c r="E60" s="394"/>
      <c r="F60" s="402"/>
      <c r="G60" s="396"/>
      <c r="H60" s="395"/>
      <c r="I60" s="397"/>
      <c r="J60" s="398"/>
      <c r="K60" s="403">
        <f t="shared" si="12"/>
        <v>0</v>
      </c>
      <c r="L60" s="400" t="s">
        <v>755</v>
      </c>
      <c r="M60" s="30"/>
      <c r="N60" s="30"/>
      <c r="O60" s="287">
        <f t="shared" si="13"/>
        <v>0</v>
      </c>
      <c r="P60" s="287">
        <f t="shared" si="14"/>
        <v>0</v>
      </c>
      <c r="Q60" s="288"/>
      <c r="R60" s="243"/>
      <c r="S60" s="378" t="str">
        <f t="shared" si="3"/>
        <v/>
      </c>
    </row>
    <row r="61" spans="2:19" hidden="1" x14ac:dyDescent="0.2">
      <c r="B61" s="609" t="s">
        <v>188</v>
      </c>
      <c r="C61" s="746" t="s">
        <v>188</v>
      </c>
      <c r="D61" s="401"/>
      <c r="E61" s="394"/>
      <c r="F61" s="402"/>
      <c r="G61" s="396"/>
      <c r="H61" s="395"/>
      <c r="I61" s="397"/>
      <c r="J61" s="398"/>
      <c r="K61" s="403">
        <f t="shared" si="12"/>
        <v>0</v>
      </c>
      <c r="L61" s="400" t="s">
        <v>755</v>
      </c>
      <c r="M61" s="30"/>
      <c r="N61" s="30"/>
      <c r="O61" s="287">
        <f t="shared" si="13"/>
        <v>0</v>
      </c>
      <c r="P61" s="287">
        <f t="shared" si="14"/>
        <v>0</v>
      </c>
      <c r="Q61" s="288"/>
      <c r="R61" s="243"/>
      <c r="S61" s="378" t="str">
        <f t="shared" si="3"/>
        <v/>
      </c>
    </row>
    <row r="62" spans="2:19" hidden="1" x14ac:dyDescent="0.2">
      <c r="B62" s="609" t="s">
        <v>188</v>
      </c>
      <c r="C62" s="746" t="s">
        <v>188</v>
      </c>
      <c r="D62" s="401"/>
      <c r="E62" s="394"/>
      <c r="F62" s="402"/>
      <c r="G62" s="396"/>
      <c r="H62" s="395"/>
      <c r="I62" s="397"/>
      <c r="J62" s="398"/>
      <c r="K62" s="403">
        <f t="shared" si="12"/>
        <v>0</v>
      </c>
      <c r="L62" s="400" t="s">
        <v>755</v>
      </c>
      <c r="M62" s="30"/>
      <c r="N62" s="30"/>
      <c r="O62" s="287">
        <f t="shared" si="13"/>
        <v>0</v>
      </c>
      <c r="P62" s="287">
        <f t="shared" si="14"/>
        <v>0</v>
      </c>
      <c r="Q62" s="288"/>
      <c r="R62" s="243"/>
      <c r="S62" s="378" t="str">
        <f t="shared" si="3"/>
        <v/>
      </c>
    </row>
    <row r="63" spans="2:19" hidden="1" x14ac:dyDescent="0.2">
      <c r="B63" s="609" t="s">
        <v>188</v>
      </c>
      <c r="C63" s="746" t="s">
        <v>188</v>
      </c>
      <c r="D63" s="401"/>
      <c r="E63" s="394"/>
      <c r="F63" s="402"/>
      <c r="G63" s="396"/>
      <c r="H63" s="395"/>
      <c r="I63" s="397"/>
      <c r="J63" s="398"/>
      <c r="K63" s="403">
        <f t="shared" si="12"/>
        <v>0</v>
      </c>
      <c r="L63" s="400" t="s">
        <v>755</v>
      </c>
      <c r="M63" s="30"/>
      <c r="N63" s="30"/>
      <c r="O63" s="287">
        <f t="shared" si="13"/>
        <v>0</v>
      </c>
      <c r="P63" s="287">
        <f t="shared" si="14"/>
        <v>0</v>
      </c>
      <c r="Q63" s="288"/>
      <c r="R63" s="243"/>
      <c r="S63" s="378" t="str">
        <f t="shared" si="3"/>
        <v/>
      </c>
    </row>
    <row r="64" spans="2:19" hidden="1" x14ac:dyDescent="0.2">
      <c r="B64" s="609" t="s">
        <v>188</v>
      </c>
      <c r="C64" s="746" t="s">
        <v>188</v>
      </c>
      <c r="D64" s="401"/>
      <c r="E64" s="394"/>
      <c r="F64" s="402"/>
      <c r="G64" s="396"/>
      <c r="H64" s="395"/>
      <c r="I64" s="397"/>
      <c r="J64" s="398"/>
      <c r="K64" s="403">
        <f t="shared" si="12"/>
        <v>0</v>
      </c>
      <c r="L64" s="400" t="s">
        <v>755</v>
      </c>
      <c r="M64" s="30"/>
      <c r="N64" s="30"/>
      <c r="O64" s="287">
        <f t="shared" si="13"/>
        <v>0</v>
      </c>
      <c r="P64" s="287">
        <f t="shared" si="14"/>
        <v>0</v>
      </c>
      <c r="Q64" s="288"/>
      <c r="R64" s="243"/>
      <c r="S64" s="378" t="str">
        <f t="shared" si="3"/>
        <v/>
      </c>
    </row>
    <row r="65" spans="2:19" hidden="1" x14ac:dyDescent="0.2">
      <c r="B65" s="609" t="s">
        <v>188</v>
      </c>
      <c r="C65" s="746" t="s">
        <v>188</v>
      </c>
      <c r="D65" s="401"/>
      <c r="E65" s="394"/>
      <c r="F65" s="402"/>
      <c r="G65" s="396"/>
      <c r="H65" s="395"/>
      <c r="I65" s="397"/>
      <c r="J65" s="398"/>
      <c r="K65" s="403">
        <f t="shared" si="12"/>
        <v>0</v>
      </c>
      <c r="L65" s="400" t="s">
        <v>755</v>
      </c>
      <c r="M65" s="30"/>
      <c r="N65" s="30"/>
      <c r="O65" s="287">
        <f t="shared" si="13"/>
        <v>0</v>
      </c>
      <c r="P65" s="287">
        <f t="shared" si="14"/>
        <v>0</v>
      </c>
      <c r="Q65" s="288"/>
      <c r="R65" s="243"/>
      <c r="S65" s="378" t="str">
        <f t="shared" si="3"/>
        <v/>
      </c>
    </row>
    <row r="66" spans="2:19" hidden="1" x14ac:dyDescent="0.2">
      <c r="B66" s="609" t="s">
        <v>188</v>
      </c>
      <c r="C66" s="746" t="s">
        <v>188</v>
      </c>
      <c r="D66" s="401"/>
      <c r="E66" s="394"/>
      <c r="F66" s="402"/>
      <c r="G66" s="396"/>
      <c r="H66" s="395"/>
      <c r="I66" s="397"/>
      <c r="J66" s="398"/>
      <c r="K66" s="403">
        <f t="shared" si="12"/>
        <v>0</v>
      </c>
      <c r="L66" s="400" t="s">
        <v>755</v>
      </c>
      <c r="M66" s="30"/>
      <c r="N66" s="30"/>
      <c r="O66" s="287">
        <f t="shared" si="13"/>
        <v>0</v>
      </c>
      <c r="P66" s="287">
        <f t="shared" si="14"/>
        <v>0</v>
      </c>
      <c r="Q66" s="288"/>
      <c r="R66" s="243"/>
      <c r="S66" s="378" t="str">
        <f t="shared" si="3"/>
        <v/>
      </c>
    </row>
    <row r="67" spans="2:19" ht="13.5" hidden="1" thickBot="1" x14ac:dyDescent="0.25">
      <c r="B67" s="610" t="s">
        <v>188</v>
      </c>
      <c r="C67" s="747" t="s">
        <v>188</v>
      </c>
      <c r="D67" s="404"/>
      <c r="E67" s="405"/>
      <c r="F67" s="406"/>
      <c r="G67" s="407"/>
      <c r="H67" s="408"/>
      <c r="I67" s="409"/>
      <c r="J67" s="410"/>
      <c r="K67" s="411">
        <f t="shared" si="12"/>
        <v>0</v>
      </c>
      <c r="L67" s="412" t="s">
        <v>755</v>
      </c>
      <c r="M67" s="30"/>
      <c r="N67" s="30"/>
      <c r="O67" s="413">
        <f t="shared" si="13"/>
        <v>0</v>
      </c>
      <c r="P67" s="413">
        <f t="shared" si="14"/>
        <v>0</v>
      </c>
      <c r="Q67" s="288"/>
      <c r="R67" s="243"/>
      <c r="S67" s="378" t="str">
        <f t="shared" si="3"/>
        <v/>
      </c>
    </row>
    <row r="68" spans="2:19" ht="13.5" thickBot="1" x14ac:dyDescent="0.25">
      <c r="B68" s="607" t="s">
        <v>607</v>
      </c>
      <c r="C68" s="633"/>
      <c r="D68" s="634" t="s">
        <v>473</v>
      </c>
      <c r="E68" s="635"/>
      <c r="F68" s="626"/>
      <c r="G68" s="627"/>
      <c r="H68" s="628"/>
      <c r="I68" s="605"/>
      <c r="J68" s="605"/>
      <c r="K68" s="605"/>
      <c r="L68" s="605" t="s">
        <v>755</v>
      </c>
      <c r="M68" s="375"/>
      <c r="N68" s="376"/>
      <c r="O68" s="376"/>
      <c r="P68" s="294"/>
      <c r="Q68" s="295">
        <f>SUM(P69:P115)</f>
        <v>12531.329999999998</v>
      </c>
      <c r="R68" s="377" t="str">
        <f>IF(Q68&gt;0,"X","")</f>
        <v>X</v>
      </c>
      <c r="S68" s="378" t="str">
        <f t="shared" si="3"/>
        <v>x</v>
      </c>
    </row>
    <row r="69" spans="2:19" hidden="1" x14ac:dyDescent="0.2">
      <c r="B69" s="768" t="s">
        <v>1726</v>
      </c>
      <c r="C69" s="745" t="s">
        <v>207</v>
      </c>
      <c r="D69" s="772" t="s">
        <v>199</v>
      </c>
      <c r="E69" s="757"/>
      <c r="F69" s="773">
        <v>20</v>
      </c>
      <c r="G69" s="774">
        <v>1.73</v>
      </c>
      <c r="H69" s="663">
        <f t="shared" ref="H69" si="15">IF(F69&lt;=30,(1.05*F69+2.18)*G69,((1.05*30+2.18)+0.87*(F69-30))*G69)</f>
        <v>40.101399999999998</v>
      </c>
      <c r="I69" s="669">
        <v>70.86999999999999</v>
      </c>
      <c r="J69" s="669">
        <f t="shared" ref="J69" si="16">IF(ISBLANK(I69),"",SUM(H69:I69))</f>
        <v>110.97139999999999</v>
      </c>
      <c r="K69" s="613">
        <f t="shared" ref="K69:K89" si="17">IF(ISBLANK(I69),0,ROUND(J69*(1+$F$10)*(1+$F$11*E69),2))</f>
        <v>140.66</v>
      </c>
      <c r="L69" s="630" t="s">
        <v>16</v>
      </c>
      <c r="M69" s="30"/>
      <c r="N69" s="30"/>
      <c r="O69" s="379">
        <f t="shared" ref="O69:O89" si="18">IF(ISBLANK(M69),0,ROUND(K69*M69,2))</f>
        <v>0</v>
      </c>
      <c r="P69" s="287">
        <f t="shared" ref="P69:P89" si="19">IF(ISBLANK(N69),0,ROUND(M69*N69,2))</f>
        <v>0</v>
      </c>
      <c r="Q69" s="288"/>
      <c r="R69" s="243"/>
      <c r="S69" s="378" t="str">
        <f t="shared" si="3"/>
        <v/>
      </c>
    </row>
    <row r="70" spans="2:19" hidden="1" x14ac:dyDescent="0.2">
      <c r="B70" s="771">
        <v>401200</v>
      </c>
      <c r="C70" s="596" t="s">
        <v>207</v>
      </c>
      <c r="D70" s="383" t="s">
        <v>196</v>
      </c>
      <c r="E70" s="704"/>
      <c r="F70" s="661"/>
      <c r="G70" s="665"/>
      <c r="H70" s="664"/>
      <c r="I70" s="669">
        <v>1.47</v>
      </c>
      <c r="J70" s="380">
        <f t="shared" ref="J70" si="20">IF(ISBLANK(I70),"",SUM(H70:I70))</f>
        <v>1.47</v>
      </c>
      <c r="K70" s="593">
        <f t="shared" si="17"/>
        <v>1.86</v>
      </c>
      <c r="L70" s="594" t="s">
        <v>16</v>
      </c>
      <c r="M70" s="30"/>
      <c r="N70" s="30"/>
      <c r="O70" s="379">
        <f t="shared" si="18"/>
        <v>0</v>
      </c>
      <c r="P70" s="287">
        <f t="shared" si="19"/>
        <v>0</v>
      </c>
      <c r="Q70" s="288"/>
      <c r="R70" s="243"/>
      <c r="S70" s="378" t="str">
        <f t="shared" si="3"/>
        <v/>
      </c>
    </row>
    <row r="71" spans="2:19" x14ac:dyDescent="0.2">
      <c r="B71" s="775">
        <v>401000</v>
      </c>
      <c r="C71" s="596" t="s">
        <v>207</v>
      </c>
      <c r="D71" s="383" t="s">
        <v>198</v>
      </c>
      <c r="E71" s="704"/>
      <c r="F71" s="661"/>
      <c r="G71" s="665"/>
      <c r="H71" s="664"/>
      <c r="I71" s="669">
        <v>6.1</v>
      </c>
      <c r="J71" s="631">
        <v>6.1</v>
      </c>
      <c r="K71" s="593">
        <v>7.4</v>
      </c>
      <c r="L71" s="594" t="s">
        <v>16</v>
      </c>
      <c r="M71" s="30">
        <v>71.67</v>
      </c>
      <c r="N71" s="30">
        <v>7.4</v>
      </c>
      <c r="O71" s="379">
        <f t="shared" si="18"/>
        <v>530.36</v>
      </c>
      <c r="P71" s="287">
        <f t="shared" si="19"/>
        <v>530.36</v>
      </c>
      <c r="Q71" s="288"/>
      <c r="R71" s="243"/>
      <c r="S71" s="378" t="str">
        <f t="shared" si="3"/>
        <v>x</v>
      </c>
    </row>
    <row r="72" spans="2:19" hidden="1" x14ac:dyDescent="0.2">
      <c r="B72" s="775">
        <v>401950</v>
      </c>
      <c r="C72" s="596" t="s">
        <v>207</v>
      </c>
      <c r="D72" s="383" t="s">
        <v>197</v>
      </c>
      <c r="E72" s="704"/>
      <c r="F72" s="661"/>
      <c r="G72" s="665"/>
      <c r="H72" s="664"/>
      <c r="I72" s="669">
        <v>5.15</v>
      </c>
      <c r="J72" s="631">
        <v>5.15</v>
      </c>
      <c r="K72" s="593">
        <v>6.25</v>
      </c>
      <c r="L72" s="594" t="s">
        <v>16</v>
      </c>
      <c r="M72" s="30"/>
      <c r="N72" s="30">
        <v>6.25</v>
      </c>
      <c r="O72" s="287">
        <f t="shared" si="18"/>
        <v>0</v>
      </c>
      <c r="P72" s="287">
        <f t="shared" si="19"/>
        <v>0</v>
      </c>
      <c r="Q72" s="288"/>
      <c r="R72" s="243"/>
      <c r="S72" s="378" t="str">
        <f t="shared" si="3"/>
        <v/>
      </c>
    </row>
    <row r="73" spans="2:19" hidden="1" x14ac:dyDescent="0.2">
      <c r="B73" s="771">
        <v>400000</v>
      </c>
      <c r="C73" s="596" t="s">
        <v>207</v>
      </c>
      <c r="D73" s="383" t="s">
        <v>192</v>
      </c>
      <c r="E73" s="704"/>
      <c r="F73" s="661"/>
      <c r="G73" s="665"/>
      <c r="H73" s="664"/>
      <c r="I73" s="669">
        <v>1.05</v>
      </c>
      <c r="J73" s="631">
        <v>1.05</v>
      </c>
      <c r="K73" s="593">
        <v>1.27</v>
      </c>
      <c r="L73" s="594" t="s">
        <v>18</v>
      </c>
      <c r="M73" s="30"/>
      <c r="N73" s="30">
        <v>1.27</v>
      </c>
      <c r="O73" s="287">
        <f t="shared" si="18"/>
        <v>0</v>
      </c>
      <c r="P73" s="287">
        <f t="shared" si="19"/>
        <v>0</v>
      </c>
      <c r="Q73" s="288"/>
      <c r="R73" s="377"/>
      <c r="S73" s="378" t="str">
        <f t="shared" si="3"/>
        <v/>
      </c>
    </row>
    <row r="74" spans="2:19" hidden="1" x14ac:dyDescent="0.2">
      <c r="B74" s="771">
        <v>400300</v>
      </c>
      <c r="C74" s="596" t="s">
        <v>207</v>
      </c>
      <c r="D74" s="383" t="s">
        <v>193</v>
      </c>
      <c r="E74" s="704"/>
      <c r="F74" s="661"/>
      <c r="G74" s="665"/>
      <c r="H74" s="664"/>
      <c r="I74" s="669">
        <v>45.48</v>
      </c>
      <c r="J74" s="631">
        <v>45.48</v>
      </c>
      <c r="K74" s="593">
        <v>55.19</v>
      </c>
      <c r="L74" s="594" t="s">
        <v>21</v>
      </c>
      <c r="M74" s="30"/>
      <c r="N74" s="30">
        <v>55.19</v>
      </c>
      <c r="O74" s="287">
        <f t="shared" ref="O74:O76" si="21">IF(ISBLANK(M74),0,ROUND(K74*M74,2))</f>
        <v>0</v>
      </c>
      <c r="P74" s="287">
        <f t="shared" ref="P74:P76" si="22">IF(ISBLANK(N74),0,ROUND(M74*N74,2))</f>
        <v>0</v>
      </c>
      <c r="Q74" s="288"/>
      <c r="R74" s="377"/>
      <c r="S74" s="378" t="str">
        <f t="shared" ref="S74:S76" si="23">IF(R74="x","x",IF(R74="y","x",IF(R74="xy","x",IF(P74&gt;0,"x",""))))</f>
        <v/>
      </c>
    </row>
    <row r="75" spans="2:19" hidden="1" x14ac:dyDescent="0.2">
      <c r="B75" s="771" t="s">
        <v>1720</v>
      </c>
      <c r="C75" s="596" t="s">
        <v>207</v>
      </c>
      <c r="D75" s="383" t="s">
        <v>493</v>
      </c>
      <c r="E75" s="704"/>
      <c r="F75" s="661"/>
      <c r="G75" s="665"/>
      <c r="H75" s="664"/>
      <c r="I75" s="669">
        <v>1.1299999999999999</v>
      </c>
      <c r="J75" s="380">
        <f t="shared" ref="J75:J76" si="24">IF(ISBLANK(I75),"",SUM(H75:I75))</f>
        <v>1.1299999999999999</v>
      </c>
      <c r="K75" s="381">
        <f t="shared" ref="K75:K76" si="25">IF(ISBLANK(I75),0,ROUND(J75*(1+$F$10)*(1+$F$11*E75),2))</f>
        <v>1.43</v>
      </c>
      <c r="L75" s="594" t="s">
        <v>21</v>
      </c>
      <c r="M75" s="30"/>
      <c r="N75" s="30">
        <v>1.43</v>
      </c>
      <c r="O75" s="287">
        <f t="shared" si="21"/>
        <v>0</v>
      </c>
      <c r="P75" s="287">
        <f t="shared" si="22"/>
        <v>0</v>
      </c>
      <c r="Q75" s="288"/>
      <c r="R75" s="377"/>
      <c r="S75" s="378" t="str">
        <f t="shared" si="23"/>
        <v/>
      </c>
    </row>
    <row r="76" spans="2:19" hidden="1" x14ac:dyDescent="0.2">
      <c r="B76" s="771">
        <v>501000</v>
      </c>
      <c r="C76" s="596" t="s">
        <v>207</v>
      </c>
      <c r="D76" s="383" t="s">
        <v>492</v>
      </c>
      <c r="E76" s="704"/>
      <c r="F76" s="661">
        <v>2</v>
      </c>
      <c r="G76" s="665">
        <v>1.8</v>
      </c>
      <c r="H76" s="663">
        <f t="shared" ref="H76" si="26">IF(F76&lt;=30,(1.05*F76+2.18)*G76,((1.05*30+2.18)+0.87*(F76-30))*G76)</f>
        <v>7.7040000000000006</v>
      </c>
      <c r="I76" s="669">
        <v>5.55</v>
      </c>
      <c r="J76" s="380">
        <f t="shared" si="24"/>
        <v>13.254000000000001</v>
      </c>
      <c r="K76" s="381">
        <f t="shared" si="25"/>
        <v>16.8</v>
      </c>
      <c r="L76" s="594" t="s">
        <v>21</v>
      </c>
      <c r="M76" s="30"/>
      <c r="N76" s="30">
        <v>16.8</v>
      </c>
      <c r="O76" s="287">
        <f t="shared" si="21"/>
        <v>0</v>
      </c>
      <c r="P76" s="287">
        <f t="shared" si="22"/>
        <v>0</v>
      </c>
      <c r="Q76" s="288"/>
      <c r="R76" s="377"/>
      <c r="S76" s="378" t="str">
        <f t="shared" si="23"/>
        <v/>
      </c>
    </row>
    <row r="77" spans="2:19" hidden="1" x14ac:dyDescent="0.2">
      <c r="B77" s="771">
        <v>101114</v>
      </c>
      <c r="C77" s="596" t="s">
        <v>817</v>
      </c>
      <c r="D77" s="383" t="s">
        <v>1905</v>
      </c>
      <c r="E77" s="704"/>
      <c r="F77" s="661"/>
      <c r="G77" s="665">
        <v>0</v>
      </c>
      <c r="H77" s="664">
        <v>0</v>
      </c>
      <c r="I77" s="669">
        <v>3.51</v>
      </c>
      <c r="J77" s="631">
        <f t="shared" ref="J77:J89" si="27">IF(ISBLANK(I77),"",SUM(H77:I77))</f>
        <v>3.51</v>
      </c>
      <c r="K77" s="593">
        <f t="shared" si="17"/>
        <v>4.45</v>
      </c>
      <c r="L77" s="594" t="s">
        <v>21</v>
      </c>
      <c r="M77" s="30"/>
      <c r="N77" s="30">
        <v>4.45</v>
      </c>
      <c r="O77" s="287">
        <f t="shared" si="18"/>
        <v>0</v>
      </c>
      <c r="P77" s="287">
        <f t="shared" si="19"/>
        <v>0</v>
      </c>
      <c r="Q77" s="288"/>
      <c r="R77" s="377"/>
      <c r="S77" s="378" t="str">
        <f t="shared" si="3"/>
        <v/>
      </c>
    </row>
    <row r="78" spans="2:19" hidden="1" x14ac:dyDescent="0.2">
      <c r="B78" s="771">
        <v>101119</v>
      </c>
      <c r="C78" s="596" t="s">
        <v>817</v>
      </c>
      <c r="D78" s="383" t="s">
        <v>1906</v>
      </c>
      <c r="E78" s="704"/>
      <c r="F78" s="661"/>
      <c r="G78" s="665"/>
      <c r="H78" s="664">
        <v>0</v>
      </c>
      <c r="I78" s="669">
        <v>5.81</v>
      </c>
      <c r="J78" s="631">
        <f t="shared" si="27"/>
        <v>5.81</v>
      </c>
      <c r="K78" s="593">
        <f t="shared" si="17"/>
        <v>7.36</v>
      </c>
      <c r="L78" s="594" t="s">
        <v>16</v>
      </c>
      <c r="M78" s="30"/>
      <c r="N78" s="30">
        <v>7.36</v>
      </c>
      <c r="O78" s="287">
        <f t="shared" si="18"/>
        <v>0</v>
      </c>
      <c r="P78" s="287">
        <f t="shared" si="19"/>
        <v>0</v>
      </c>
      <c r="Q78" s="288"/>
      <c r="R78" s="385"/>
      <c r="S78" s="378" t="str">
        <f t="shared" si="3"/>
        <v/>
      </c>
    </row>
    <row r="79" spans="2:19" hidden="1" x14ac:dyDescent="0.2">
      <c r="B79" s="771">
        <v>430210</v>
      </c>
      <c r="C79" s="596" t="s">
        <v>207</v>
      </c>
      <c r="D79" s="383" t="s">
        <v>1907</v>
      </c>
      <c r="E79" s="704"/>
      <c r="F79" s="661"/>
      <c r="G79" s="665"/>
      <c r="H79" s="664">
        <v>0</v>
      </c>
      <c r="I79" s="669">
        <v>23.79</v>
      </c>
      <c r="J79" s="631">
        <f t="shared" si="27"/>
        <v>23.79</v>
      </c>
      <c r="K79" s="593">
        <f t="shared" si="17"/>
        <v>30.15</v>
      </c>
      <c r="L79" s="594" t="s">
        <v>16</v>
      </c>
      <c r="M79" s="30"/>
      <c r="N79" s="30">
        <v>30.15</v>
      </c>
      <c r="O79" s="287">
        <f t="shared" si="18"/>
        <v>0</v>
      </c>
      <c r="P79" s="287">
        <f t="shared" si="19"/>
        <v>0</v>
      </c>
      <c r="Q79" s="288"/>
      <c r="R79" s="385"/>
      <c r="S79" s="378" t="str">
        <f t="shared" si="3"/>
        <v/>
      </c>
    </row>
    <row r="80" spans="2:19" hidden="1" x14ac:dyDescent="0.2">
      <c r="B80" s="771" t="s">
        <v>1908</v>
      </c>
      <c r="C80" s="596" t="s">
        <v>1904</v>
      </c>
      <c r="D80" s="383" t="s">
        <v>1909</v>
      </c>
      <c r="E80" s="704"/>
      <c r="F80" s="661"/>
      <c r="G80" s="665"/>
      <c r="H80" s="664"/>
      <c r="I80" s="669">
        <v>0.87</v>
      </c>
      <c r="J80" s="631">
        <f t="shared" si="27"/>
        <v>0.87</v>
      </c>
      <c r="K80" s="593">
        <f t="shared" si="17"/>
        <v>1.1000000000000001</v>
      </c>
      <c r="L80" s="594" t="s">
        <v>16</v>
      </c>
      <c r="M80" s="30"/>
      <c r="N80" s="30">
        <v>1.1000000000000001</v>
      </c>
      <c r="O80" s="287">
        <f t="shared" si="18"/>
        <v>0</v>
      </c>
      <c r="P80" s="287">
        <f t="shared" si="19"/>
        <v>0</v>
      </c>
      <c r="Q80" s="288"/>
      <c r="R80" s="243"/>
      <c r="S80" s="378" t="str">
        <f t="shared" si="3"/>
        <v/>
      </c>
    </row>
    <row r="81" spans="2:19" hidden="1" x14ac:dyDescent="0.2">
      <c r="B81" s="771" t="s">
        <v>1927</v>
      </c>
      <c r="C81" s="596" t="s">
        <v>207</v>
      </c>
      <c r="D81" s="383" t="s">
        <v>1910</v>
      </c>
      <c r="E81" s="704"/>
      <c r="F81" s="661"/>
      <c r="G81" s="665">
        <v>0</v>
      </c>
      <c r="H81" s="664">
        <v>0</v>
      </c>
      <c r="I81" s="669">
        <v>4.9400000000000004</v>
      </c>
      <c r="J81" s="631">
        <f t="shared" si="27"/>
        <v>4.9400000000000004</v>
      </c>
      <c r="K81" s="593">
        <f t="shared" si="17"/>
        <v>6.26</v>
      </c>
      <c r="L81" s="594" t="s">
        <v>16</v>
      </c>
      <c r="M81" s="30"/>
      <c r="N81" s="30">
        <v>6.26</v>
      </c>
      <c r="O81" s="287">
        <f t="shared" si="18"/>
        <v>0</v>
      </c>
      <c r="P81" s="287">
        <f t="shared" si="19"/>
        <v>0</v>
      </c>
      <c r="Q81" s="288"/>
      <c r="R81" s="243"/>
      <c r="S81" s="378" t="str">
        <f t="shared" si="3"/>
        <v/>
      </c>
    </row>
    <row r="82" spans="2:19" hidden="1" x14ac:dyDescent="0.2">
      <c r="B82" s="771" t="s">
        <v>1928</v>
      </c>
      <c r="C82" s="596" t="s">
        <v>207</v>
      </c>
      <c r="D82" s="383" t="s">
        <v>1911</v>
      </c>
      <c r="E82" s="704"/>
      <c r="F82" s="661"/>
      <c r="G82" s="665"/>
      <c r="H82" s="664">
        <v>0</v>
      </c>
      <c r="I82" s="669">
        <v>6.04</v>
      </c>
      <c r="J82" s="631">
        <f t="shared" si="27"/>
        <v>6.04</v>
      </c>
      <c r="K82" s="593">
        <f t="shared" si="17"/>
        <v>7.66</v>
      </c>
      <c r="L82" s="594" t="s">
        <v>16</v>
      </c>
      <c r="M82" s="30"/>
      <c r="N82" s="30">
        <v>7.66</v>
      </c>
      <c r="O82" s="287">
        <f t="shared" si="18"/>
        <v>0</v>
      </c>
      <c r="P82" s="287">
        <f t="shared" si="19"/>
        <v>0</v>
      </c>
      <c r="Q82" s="288"/>
      <c r="R82" s="243"/>
      <c r="S82" s="378" t="str">
        <f t="shared" si="3"/>
        <v/>
      </c>
    </row>
    <row r="83" spans="2:19" hidden="1" x14ac:dyDescent="0.2">
      <c r="B83" s="771">
        <v>431010</v>
      </c>
      <c r="C83" s="596" t="s">
        <v>207</v>
      </c>
      <c r="D83" s="383" t="s">
        <v>1912</v>
      </c>
      <c r="E83" s="704"/>
      <c r="F83" s="661"/>
      <c r="G83" s="665">
        <v>0</v>
      </c>
      <c r="H83" s="664">
        <v>0</v>
      </c>
      <c r="I83" s="669">
        <v>37.159999999999997</v>
      </c>
      <c r="J83" s="631">
        <f t="shared" si="27"/>
        <v>37.159999999999997</v>
      </c>
      <c r="K83" s="593">
        <f t="shared" si="17"/>
        <v>47.1</v>
      </c>
      <c r="L83" s="594" t="s">
        <v>16</v>
      </c>
      <c r="M83" s="30"/>
      <c r="N83" s="30">
        <v>47.1</v>
      </c>
      <c r="O83" s="287">
        <f t="shared" si="18"/>
        <v>0</v>
      </c>
      <c r="P83" s="287">
        <f t="shared" si="19"/>
        <v>0</v>
      </c>
      <c r="Q83" s="288"/>
      <c r="R83" s="243"/>
      <c r="S83" s="378" t="str">
        <f t="shared" si="3"/>
        <v/>
      </c>
    </row>
    <row r="84" spans="2:19" x14ac:dyDescent="0.2">
      <c r="B84" s="771" t="s">
        <v>1721</v>
      </c>
      <c r="C84" s="596" t="s">
        <v>207</v>
      </c>
      <c r="D84" s="383" t="s">
        <v>1929</v>
      </c>
      <c r="E84" s="704"/>
      <c r="F84" s="661">
        <v>0.154</v>
      </c>
      <c r="G84" s="665">
        <v>1.5</v>
      </c>
      <c r="H84" s="663">
        <f t="shared" ref="H84:H86" si="28">IF(F84&lt;=30,(1.05*F84+2.18)*G84,((1.05*30+2.18)+0.87*(F84-30))*G84)</f>
        <v>3.5125500000000005</v>
      </c>
      <c r="I84" s="669">
        <v>4.9400000000000004</v>
      </c>
      <c r="J84" s="631">
        <f t="shared" si="27"/>
        <v>8.4525500000000005</v>
      </c>
      <c r="K84" s="593">
        <f t="shared" si="17"/>
        <v>10.71</v>
      </c>
      <c r="L84" s="594" t="s">
        <v>16</v>
      </c>
      <c r="M84" s="30">
        <v>477.5</v>
      </c>
      <c r="N84" s="30">
        <v>10.71</v>
      </c>
      <c r="O84" s="287">
        <f t="shared" si="18"/>
        <v>5114.03</v>
      </c>
      <c r="P84" s="287">
        <f t="shared" si="19"/>
        <v>5114.03</v>
      </c>
      <c r="Q84" s="288"/>
      <c r="R84" s="243"/>
      <c r="S84" s="378" t="str">
        <f t="shared" si="3"/>
        <v>x</v>
      </c>
    </row>
    <row r="85" spans="2:19" hidden="1" x14ac:dyDescent="0.2">
      <c r="B85" s="771" t="s">
        <v>1722</v>
      </c>
      <c r="C85" s="596" t="s">
        <v>207</v>
      </c>
      <c r="D85" s="383" t="s">
        <v>1930</v>
      </c>
      <c r="E85" s="704"/>
      <c r="F85" s="661">
        <v>2</v>
      </c>
      <c r="G85" s="665">
        <v>1.5</v>
      </c>
      <c r="H85" s="663">
        <f t="shared" si="28"/>
        <v>6.42</v>
      </c>
      <c r="I85" s="669">
        <v>6.04</v>
      </c>
      <c r="J85" s="631">
        <f t="shared" si="27"/>
        <v>12.46</v>
      </c>
      <c r="K85" s="593">
        <f t="shared" si="17"/>
        <v>15.79</v>
      </c>
      <c r="L85" s="594" t="s">
        <v>16</v>
      </c>
      <c r="M85" s="30"/>
      <c r="N85" s="30">
        <v>15.79</v>
      </c>
      <c r="O85" s="287">
        <f t="shared" si="18"/>
        <v>0</v>
      </c>
      <c r="P85" s="287">
        <f t="shared" si="19"/>
        <v>0</v>
      </c>
      <c r="Q85" s="288"/>
      <c r="R85" s="243"/>
      <c r="S85" s="378" t="str">
        <f t="shared" si="3"/>
        <v/>
      </c>
    </row>
    <row r="86" spans="2:19" hidden="1" x14ac:dyDescent="0.2">
      <c r="B86" s="771">
        <v>521300</v>
      </c>
      <c r="C86" s="596" t="s">
        <v>207</v>
      </c>
      <c r="D86" s="383" t="s">
        <v>1913</v>
      </c>
      <c r="E86" s="704"/>
      <c r="F86" s="661">
        <v>2</v>
      </c>
      <c r="G86" s="665">
        <v>1.5</v>
      </c>
      <c r="H86" s="663">
        <f t="shared" si="28"/>
        <v>6.42</v>
      </c>
      <c r="I86" s="669">
        <v>39.14</v>
      </c>
      <c r="J86" s="631">
        <f t="shared" si="27"/>
        <v>45.56</v>
      </c>
      <c r="K86" s="593">
        <f t="shared" si="17"/>
        <v>57.75</v>
      </c>
      <c r="L86" s="594" t="s">
        <v>16</v>
      </c>
      <c r="M86" s="30"/>
      <c r="N86" s="30">
        <v>57.75</v>
      </c>
      <c r="O86" s="287">
        <f t="shared" si="18"/>
        <v>0</v>
      </c>
      <c r="P86" s="287">
        <f t="shared" si="19"/>
        <v>0</v>
      </c>
      <c r="Q86" s="288"/>
      <c r="R86" s="243"/>
      <c r="S86" s="378" t="str">
        <f t="shared" si="3"/>
        <v/>
      </c>
    </row>
    <row r="87" spans="2:19" hidden="1" x14ac:dyDescent="0.2">
      <c r="B87" s="771">
        <v>411000</v>
      </c>
      <c r="C87" s="596" t="s">
        <v>207</v>
      </c>
      <c r="D87" s="383" t="s">
        <v>195</v>
      </c>
      <c r="E87" s="704"/>
      <c r="F87" s="661"/>
      <c r="G87" s="665"/>
      <c r="H87" s="663">
        <f>IF(F87&lt;=30,(0.57*F87+1.18)*G87,((0.57*30+1.18)+0.47*(F87-30))*G87)</f>
        <v>0</v>
      </c>
      <c r="I87" s="669">
        <v>8.66</v>
      </c>
      <c r="J87" s="631">
        <f t="shared" si="27"/>
        <v>8.66</v>
      </c>
      <c r="K87" s="593">
        <f t="shared" si="17"/>
        <v>10.98</v>
      </c>
      <c r="L87" s="594" t="s">
        <v>16</v>
      </c>
      <c r="M87" s="30"/>
      <c r="N87" s="30">
        <v>10.98</v>
      </c>
      <c r="O87" s="287">
        <f t="shared" si="18"/>
        <v>0</v>
      </c>
      <c r="P87" s="287">
        <f t="shared" si="19"/>
        <v>0</v>
      </c>
      <c r="Q87" s="288"/>
      <c r="R87" s="385"/>
      <c r="S87" s="378" t="str">
        <f t="shared" ref="S87:S157" si="29">IF(R87="x","x",IF(R87="y","x",IF(R87="xy","x",IF(P87&gt;0,"x",""))))</f>
        <v/>
      </c>
    </row>
    <row r="88" spans="2:19" hidden="1" x14ac:dyDescent="0.2">
      <c r="B88" s="771">
        <v>420200</v>
      </c>
      <c r="C88" s="596" t="s">
        <v>207</v>
      </c>
      <c r="D88" s="383" t="s">
        <v>732</v>
      </c>
      <c r="E88" s="704"/>
      <c r="F88" s="661">
        <v>2</v>
      </c>
      <c r="G88" s="665">
        <v>0.5</v>
      </c>
      <c r="H88" s="663">
        <f t="shared" ref="H88:H89" si="30">IF(F88&lt;=30,(1.05*F88+2.18)*G88,((1.05*30+2.18)+0.87*(F88-30))*G88)</f>
        <v>2.14</v>
      </c>
      <c r="I88" s="669">
        <v>10.49</v>
      </c>
      <c r="J88" s="631">
        <f>IF(ISBLANK(I88),"",SUM(H88:I88))*0.9</f>
        <v>11.367000000000001</v>
      </c>
      <c r="K88" s="593">
        <f t="shared" si="17"/>
        <v>14.41</v>
      </c>
      <c r="L88" s="594" t="s">
        <v>16</v>
      </c>
      <c r="M88" s="30"/>
      <c r="N88" s="30">
        <v>14.41</v>
      </c>
      <c r="O88" s="287">
        <f t="shared" si="18"/>
        <v>0</v>
      </c>
      <c r="P88" s="287">
        <f t="shared" si="19"/>
        <v>0</v>
      </c>
      <c r="Q88" s="288"/>
      <c r="R88" s="385"/>
      <c r="S88" s="378" t="str">
        <f t="shared" si="29"/>
        <v/>
      </c>
    </row>
    <row r="89" spans="2:19" hidden="1" x14ac:dyDescent="0.2">
      <c r="B89" s="771">
        <v>404000</v>
      </c>
      <c r="C89" s="596" t="s">
        <v>207</v>
      </c>
      <c r="D89" s="383" t="s">
        <v>194</v>
      </c>
      <c r="E89" s="704"/>
      <c r="F89" s="661">
        <v>2</v>
      </c>
      <c r="G89" s="665">
        <v>1.5</v>
      </c>
      <c r="H89" s="663">
        <f t="shared" si="30"/>
        <v>6.42</v>
      </c>
      <c r="I89" s="669">
        <v>10.38</v>
      </c>
      <c r="J89" s="631">
        <f t="shared" si="27"/>
        <v>16.8</v>
      </c>
      <c r="K89" s="593">
        <f t="shared" si="17"/>
        <v>21.29</v>
      </c>
      <c r="L89" s="594" t="s">
        <v>16</v>
      </c>
      <c r="M89" s="30"/>
      <c r="N89" s="30">
        <v>21.29</v>
      </c>
      <c r="O89" s="287">
        <f t="shared" si="18"/>
        <v>0</v>
      </c>
      <c r="P89" s="287">
        <f t="shared" si="19"/>
        <v>0</v>
      </c>
      <c r="Q89" s="288"/>
      <c r="R89" s="385"/>
      <c r="S89" s="378" t="str">
        <f t="shared" si="29"/>
        <v/>
      </c>
    </row>
    <row r="90" spans="2:19" x14ac:dyDescent="0.2">
      <c r="B90" s="608" t="s">
        <v>188</v>
      </c>
      <c r="C90" s="638"/>
      <c r="D90" s="386" t="s">
        <v>187</v>
      </c>
      <c r="E90" s="387"/>
      <c r="F90" s="388"/>
      <c r="G90" s="389"/>
      <c r="H90" s="390"/>
      <c r="I90" s="391"/>
      <c r="J90" s="391"/>
      <c r="K90" s="391"/>
      <c r="L90" s="391" t="s">
        <v>755</v>
      </c>
      <c r="M90" s="390"/>
      <c r="N90" s="391"/>
      <c r="O90" s="391"/>
      <c r="P90" s="392"/>
      <c r="Q90" s="288"/>
      <c r="R90" s="377" t="str">
        <f>IF(SUM(P91:P115)&gt;0,"y","")</f>
        <v>y</v>
      </c>
      <c r="S90" s="378" t="str">
        <f t="shared" si="29"/>
        <v>x</v>
      </c>
    </row>
    <row r="91" spans="2:19" ht="13.5" thickBot="1" x14ac:dyDescent="0.25">
      <c r="B91" s="771">
        <v>404300</v>
      </c>
      <c r="C91" s="596" t="s">
        <v>207</v>
      </c>
      <c r="D91" s="393" t="s">
        <v>2098</v>
      </c>
      <c r="E91" s="394"/>
      <c r="F91" s="661">
        <v>10</v>
      </c>
      <c r="G91" s="665">
        <v>1</v>
      </c>
      <c r="H91" s="663">
        <f t="shared" ref="H91" si="31">IF(F91&lt;=30,(1.05*F91+2.18)*G91,((1.05*30+2.18)+0.87*(F91-30))*G91)</f>
        <v>12.68</v>
      </c>
      <c r="I91" s="669">
        <v>0.71</v>
      </c>
      <c r="J91" s="631">
        <f t="shared" ref="J91" si="32">IF(ISBLANK(I91),"",SUM(H91:I91))</f>
        <v>13.39</v>
      </c>
      <c r="K91" s="593">
        <f t="shared" ref="K91" si="33">IF(ISBLANK(I91),0,ROUND(J91*(1+$F$10)*(1+$F$11*E91),2))</f>
        <v>16.97</v>
      </c>
      <c r="L91" s="400" t="s">
        <v>16</v>
      </c>
      <c r="M91" s="415">
        <v>405.83</v>
      </c>
      <c r="N91" s="415">
        <v>16.97</v>
      </c>
      <c r="O91" s="287">
        <f t="shared" ref="O91" si="34">IF(ISBLANK(M91),0,ROUND(K91*M91,2))</f>
        <v>6886.94</v>
      </c>
      <c r="P91" s="384">
        <f t="shared" ref="P91:P115" si="35">IF(ISBLANK(N91),0,ROUND(M91*N91,2))</f>
        <v>6886.94</v>
      </c>
      <c r="Q91" s="288"/>
      <c r="R91" s="243"/>
      <c r="S91" s="378" t="str">
        <f t="shared" si="29"/>
        <v>x</v>
      </c>
    </row>
    <row r="92" spans="2:19" ht="13.5" hidden="1" thickBot="1" x14ac:dyDescent="0.25">
      <c r="B92" s="609" t="s">
        <v>188</v>
      </c>
      <c r="C92" s="746" t="s">
        <v>188</v>
      </c>
      <c r="D92" s="401"/>
      <c r="E92" s="394"/>
      <c r="F92" s="402"/>
      <c r="G92" s="396"/>
      <c r="H92" s="395"/>
      <c r="I92" s="397"/>
      <c r="J92" s="398"/>
      <c r="K92" s="403">
        <f t="shared" ref="K91:K115" si="36">IF(ISBLANK(J92),0,ROUND(J92*(1+$F$10)*(1+$F$11*E92),2))</f>
        <v>0</v>
      </c>
      <c r="L92" s="400" t="s">
        <v>755</v>
      </c>
      <c r="M92" s="30"/>
      <c r="N92" s="30">
        <v>0</v>
      </c>
      <c r="O92" s="287">
        <f>IF(ISBLANK(M92),0,ROUND(K92*M92,2))</f>
        <v>0</v>
      </c>
      <c r="P92" s="287">
        <f t="shared" si="35"/>
        <v>0</v>
      </c>
      <c r="Q92" s="288"/>
      <c r="R92" s="243"/>
      <c r="S92" s="378" t="str">
        <f t="shared" si="29"/>
        <v/>
      </c>
    </row>
    <row r="93" spans="2:19" hidden="1" x14ac:dyDescent="0.2">
      <c r="B93" s="609" t="s">
        <v>188</v>
      </c>
      <c r="C93" s="746" t="s">
        <v>188</v>
      </c>
      <c r="D93" s="401"/>
      <c r="E93" s="394"/>
      <c r="F93" s="402"/>
      <c r="G93" s="396"/>
      <c r="H93" s="395"/>
      <c r="I93" s="397"/>
      <c r="J93" s="398"/>
      <c r="K93" s="403">
        <f t="shared" si="36"/>
        <v>0</v>
      </c>
      <c r="L93" s="400" t="s">
        <v>755</v>
      </c>
      <c r="M93" s="30"/>
      <c r="N93" s="30">
        <v>0</v>
      </c>
      <c r="O93" s="287">
        <f t="shared" ref="O93:O115" si="37">IF(ISBLANK(M93),0,ROUND(K93*M93,2))</f>
        <v>0</v>
      </c>
      <c r="P93" s="287">
        <f t="shared" si="35"/>
        <v>0</v>
      </c>
      <c r="Q93" s="288"/>
      <c r="R93" s="243"/>
      <c r="S93" s="378" t="str">
        <f t="shared" si="29"/>
        <v/>
      </c>
    </row>
    <row r="94" spans="2:19" hidden="1" x14ac:dyDescent="0.2">
      <c r="B94" s="609" t="s">
        <v>188</v>
      </c>
      <c r="C94" s="746" t="s">
        <v>188</v>
      </c>
      <c r="D94" s="401"/>
      <c r="E94" s="394"/>
      <c r="F94" s="402"/>
      <c r="G94" s="396"/>
      <c r="H94" s="395"/>
      <c r="I94" s="397"/>
      <c r="J94" s="398"/>
      <c r="K94" s="403">
        <f t="shared" si="36"/>
        <v>0</v>
      </c>
      <c r="L94" s="400" t="s">
        <v>755</v>
      </c>
      <c r="M94" s="30"/>
      <c r="N94" s="30">
        <v>0</v>
      </c>
      <c r="O94" s="287">
        <f t="shared" si="37"/>
        <v>0</v>
      </c>
      <c r="P94" s="287">
        <f t="shared" si="35"/>
        <v>0</v>
      </c>
      <c r="Q94" s="288"/>
      <c r="R94" s="243"/>
      <c r="S94" s="378" t="str">
        <f t="shared" si="29"/>
        <v/>
      </c>
    </row>
    <row r="95" spans="2:19" hidden="1" x14ac:dyDescent="0.2">
      <c r="B95" s="609" t="s">
        <v>188</v>
      </c>
      <c r="C95" s="746" t="s">
        <v>188</v>
      </c>
      <c r="D95" s="401"/>
      <c r="E95" s="394"/>
      <c r="F95" s="402"/>
      <c r="G95" s="396"/>
      <c r="H95" s="395"/>
      <c r="I95" s="397"/>
      <c r="J95" s="398"/>
      <c r="K95" s="403">
        <f t="shared" si="36"/>
        <v>0</v>
      </c>
      <c r="L95" s="400" t="s">
        <v>755</v>
      </c>
      <c r="M95" s="30"/>
      <c r="N95" s="30">
        <v>0</v>
      </c>
      <c r="O95" s="287">
        <f t="shared" si="37"/>
        <v>0</v>
      </c>
      <c r="P95" s="287">
        <f t="shared" si="35"/>
        <v>0</v>
      </c>
      <c r="Q95" s="288"/>
      <c r="R95" s="243"/>
      <c r="S95" s="378" t="str">
        <f t="shared" si="29"/>
        <v/>
      </c>
    </row>
    <row r="96" spans="2:19" hidden="1" x14ac:dyDescent="0.2">
      <c r="B96" s="609" t="s">
        <v>188</v>
      </c>
      <c r="C96" s="746" t="s">
        <v>188</v>
      </c>
      <c r="D96" s="401"/>
      <c r="E96" s="394"/>
      <c r="F96" s="402"/>
      <c r="G96" s="396"/>
      <c r="H96" s="395"/>
      <c r="I96" s="397"/>
      <c r="J96" s="398"/>
      <c r="K96" s="403">
        <f t="shared" si="36"/>
        <v>0</v>
      </c>
      <c r="L96" s="400" t="s">
        <v>755</v>
      </c>
      <c r="M96" s="30"/>
      <c r="N96" s="30">
        <v>0</v>
      </c>
      <c r="O96" s="287">
        <f t="shared" si="37"/>
        <v>0</v>
      </c>
      <c r="P96" s="287">
        <f t="shared" si="35"/>
        <v>0</v>
      </c>
      <c r="Q96" s="288"/>
      <c r="R96" s="243"/>
      <c r="S96" s="378" t="str">
        <f t="shared" si="29"/>
        <v/>
      </c>
    </row>
    <row r="97" spans="2:19" hidden="1" x14ac:dyDescent="0.2">
      <c r="B97" s="609" t="s">
        <v>188</v>
      </c>
      <c r="C97" s="746" t="s">
        <v>188</v>
      </c>
      <c r="D97" s="401"/>
      <c r="E97" s="394"/>
      <c r="F97" s="402"/>
      <c r="G97" s="396"/>
      <c r="H97" s="395"/>
      <c r="I97" s="397"/>
      <c r="J97" s="398"/>
      <c r="K97" s="403">
        <f t="shared" si="36"/>
        <v>0</v>
      </c>
      <c r="L97" s="400" t="s">
        <v>755</v>
      </c>
      <c r="M97" s="30"/>
      <c r="N97" s="30">
        <v>0</v>
      </c>
      <c r="O97" s="287">
        <f t="shared" si="37"/>
        <v>0</v>
      </c>
      <c r="P97" s="287">
        <f t="shared" si="35"/>
        <v>0</v>
      </c>
      <c r="Q97" s="288"/>
      <c r="R97" s="243"/>
      <c r="S97" s="378" t="str">
        <f t="shared" si="29"/>
        <v/>
      </c>
    </row>
    <row r="98" spans="2:19" hidden="1" x14ac:dyDescent="0.2">
      <c r="B98" s="609" t="s">
        <v>188</v>
      </c>
      <c r="C98" s="746" t="s">
        <v>188</v>
      </c>
      <c r="D98" s="401"/>
      <c r="E98" s="394"/>
      <c r="F98" s="402"/>
      <c r="G98" s="396"/>
      <c r="H98" s="395"/>
      <c r="I98" s="397"/>
      <c r="J98" s="398"/>
      <c r="K98" s="403">
        <f t="shared" si="36"/>
        <v>0</v>
      </c>
      <c r="L98" s="400" t="s">
        <v>755</v>
      </c>
      <c r="M98" s="30"/>
      <c r="N98" s="30">
        <v>0</v>
      </c>
      <c r="O98" s="287">
        <f t="shared" si="37"/>
        <v>0</v>
      </c>
      <c r="P98" s="287">
        <f t="shared" si="35"/>
        <v>0</v>
      </c>
      <c r="Q98" s="288"/>
      <c r="R98" s="243"/>
      <c r="S98" s="378" t="str">
        <f t="shared" si="29"/>
        <v/>
      </c>
    </row>
    <row r="99" spans="2:19" hidden="1" x14ac:dyDescent="0.2">
      <c r="B99" s="609" t="s">
        <v>188</v>
      </c>
      <c r="C99" s="746" t="s">
        <v>188</v>
      </c>
      <c r="D99" s="401"/>
      <c r="E99" s="394"/>
      <c r="F99" s="402"/>
      <c r="G99" s="396"/>
      <c r="H99" s="395"/>
      <c r="I99" s="397"/>
      <c r="J99" s="398"/>
      <c r="K99" s="403">
        <f t="shared" si="36"/>
        <v>0</v>
      </c>
      <c r="L99" s="400" t="s">
        <v>755</v>
      </c>
      <c r="M99" s="30"/>
      <c r="N99" s="30">
        <v>0</v>
      </c>
      <c r="O99" s="287">
        <f t="shared" si="37"/>
        <v>0</v>
      </c>
      <c r="P99" s="287">
        <f t="shared" si="35"/>
        <v>0</v>
      </c>
      <c r="Q99" s="288"/>
      <c r="R99" s="243"/>
      <c r="S99" s="378" t="str">
        <f t="shared" si="29"/>
        <v/>
      </c>
    </row>
    <row r="100" spans="2:19" hidden="1" x14ac:dyDescent="0.2">
      <c r="B100" s="609" t="s">
        <v>188</v>
      </c>
      <c r="C100" s="746" t="s">
        <v>188</v>
      </c>
      <c r="D100" s="401"/>
      <c r="E100" s="394"/>
      <c r="F100" s="402"/>
      <c r="G100" s="396"/>
      <c r="H100" s="395"/>
      <c r="I100" s="397"/>
      <c r="J100" s="398"/>
      <c r="K100" s="403">
        <f t="shared" si="36"/>
        <v>0</v>
      </c>
      <c r="L100" s="400" t="s">
        <v>755</v>
      </c>
      <c r="M100" s="30"/>
      <c r="N100" s="30">
        <v>0</v>
      </c>
      <c r="O100" s="287">
        <f t="shared" si="37"/>
        <v>0</v>
      </c>
      <c r="P100" s="287">
        <f t="shared" si="35"/>
        <v>0</v>
      </c>
      <c r="Q100" s="288"/>
      <c r="R100" s="243"/>
      <c r="S100" s="378" t="str">
        <f t="shared" si="29"/>
        <v/>
      </c>
    </row>
    <row r="101" spans="2:19" hidden="1" x14ac:dyDescent="0.2">
      <c r="B101" s="609" t="s">
        <v>188</v>
      </c>
      <c r="C101" s="746" t="s">
        <v>188</v>
      </c>
      <c r="D101" s="401"/>
      <c r="E101" s="394"/>
      <c r="F101" s="402"/>
      <c r="G101" s="396"/>
      <c r="H101" s="395"/>
      <c r="I101" s="397"/>
      <c r="J101" s="398"/>
      <c r="K101" s="403">
        <f t="shared" si="36"/>
        <v>0</v>
      </c>
      <c r="L101" s="400" t="s">
        <v>755</v>
      </c>
      <c r="M101" s="30"/>
      <c r="N101" s="30">
        <v>0</v>
      </c>
      <c r="O101" s="287">
        <f t="shared" si="37"/>
        <v>0</v>
      </c>
      <c r="P101" s="287">
        <f t="shared" si="35"/>
        <v>0</v>
      </c>
      <c r="Q101" s="288"/>
      <c r="R101" s="243"/>
      <c r="S101" s="378" t="str">
        <f t="shared" si="29"/>
        <v/>
      </c>
    </row>
    <row r="102" spans="2:19" hidden="1" x14ac:dyDescent="0.2">
      <c r="B102" s="609" t="s">
        <v>188</v>
      </c>
      <c r="C102" s="746" t="s">
        <v>188</v>
      </c>
      <c r="D102" s="401"/>
      <c r="E102" s="394"/>
      <c r="F102" s="402"/>
      <c r="G102" s="396"/>
      <c r="H102" s="395"/>
      <c r="I102" s="397"/>
      <c r="J102" s="398"/>
      <c r="K102" s="403">
        <f t="shared" si="36"/>
        <v>0</v>
      </c>
      <c r="L102" s="400" t="s">
        <v>755</v>
      </c>
      <c r="M102" s="30"/>
      <c r="N102" s="30">
        <v>0</v>
      </c>
      <c r="O102" s="287">
        <f t="shared" si="37"/>
        <v>0</v>
      </c>
      <c r="P102" s="287">
        <f t="shared" si="35"/>
        <v>0</v>
      </c>
      <c r="Q102" s="288"/>
      <c r="R102" s="243"/>
      <c r="S102" s="378" t="str">
        <f t="shared" si="29"/>
        <v/>
      </c>
    </row>
    <row r="103" spans="2:19" hidden="1" x14ac:dyDescent="0.2">
      <c r="B103" s="609" t="s">
        <v>188</v>
      </c>
      <c r="C103" s="746" t="s">
        <v>188</v>
      </c>
      <c r="D103" s="401"/>
      <c r="E103" s="394"/>
      <c r="F103" s="402"/>
      <c r="G103" s="396"/>
      <c r="H103" s="395"/>
      <c r="I103" s="397"/>
      <c r="J103" s="398"/>
      <c r="K103" s="403">
        <f t="shared" si="36"/>
        <v>0</v>
      </c>
      <c r="L103" s="400" t="s">
        <v>755</v>
      </c>
      <c r="M103" s="30"/>
      <c r="N103" s="30">
        <v>0</v>
      </c>
      <c r="O103" s="287">
        <f t="shared" si="37"/>
        <v>0</v>
      </c>
      <c r="P103" s="287">
        <f t="shared" si="35"/>
        <v>0</v>
      </c>
      <c r="Q103" s="288"/>
      <c r="R103" s="243"/>
      <c r="S103" s="378" t="str">
        <f t="shared" si="29"/>
        <v/>
      </c>
    </row>
    <row r="104" spans="2:19" hidden="1" x14ac:dyDescent="0.2">
      <c r="B104" s="609" t="s">
        <v>188</v>
      </c>
      <c r="C104" s="746" t="s">
        <v>188</v>
      </c>
      <c r="D104" s="401"/>
      <c r="E104" s="394"/>
      <c r="F104" s="402"/>
      <c r="G104" s="396"/>
      <c r="H104" s="395"/>
      <c r="I104" s="397"/>
      <c r="J104" s="398"/>
      <c r="K104" s="403">
        <f t="shared" si="36"/>
        <v>0</v>
      </c>
      <c r="L104" s="400" t="s">
        <v>755</v>
      </c>
      <c r="M104" s="30"/>
      <c r="N104" s="30">
        <v>0</v>
      </c>
      <c r="O104" s="287">
        <f t="shared" si="37"/>
        <v>0</v>
      </c>
      <c r="P104" s="287">
        <f t="shared" si="35"/>
        <v>0</v>
      </c>
      <c r="Q104" s="288"/>
      <c r="R104" s="243"/>
      <c r="S104" s="378" t="str">
        <f t="shared" si="29"/>
        <v/>
      </c>
    </row>
    <row r="105" spans="2:19" hidden="1" x14ac:dyDescent="0.2">
      <c r="B105" s="609" t="s">
        <v>188</v>
      </c>
      <c r="C105" s="746" t="s">
        <v>188</v>
      </c>
      <c r="D105" s="401"/>
      <c r="E105" s="394"/>
      <c r="F105" s="402"/>
      <c r="G105" s="396"/>
      <c r="H105" s="395"/>
      <c r="I105" s="397"/>
      <c r="J105" s="398"/>
      <c r="K105" s="403">
        <f t="shared" si="36"/>
        <v>0</v>
      </c>
      <c r="L105" s="400" t="s">
        <v>755</v>
      </c>
      <c r="M105" s="30"/>
      <c r="N105" s="30">
        <v>0</v>
      </c>
      <c r="O105" s="287">
        <f t="shared" si="37"/>
        <v>0</v>
      </c>
      <c r="P105" s="287">
        <f t="shared" si="35"/>
        <v>0</v>
      </c>
      <c r="Q105" s="288"/>
      <c r="R105" s="243"/>
      <c r="S105" s="378" t="str">
        <f t="shared" si="29"/>
        <v/>
      </c>
    </row>
    <row r="106" spans="2:19" hidden="1" x14ac:dyDescent="0.2">
      <c r="B106" s="609" t="s">
        <v>188</v>
      </c>
      <c r="C106" s="746" t="s">
        <v>188</v>
      </c>
      <c r="D106" s="401"/>
      <c r="E106" s="394"/>
      <c r="F106" s="402"/>
      <c r="G106" s="396"/>
      <c r="H106" s="395"/>
      <c r="I106" s="397"/>
      <c r="J106" s="398"/>
      <c r="K106" s="403">
        <f t="shared" si="36"/>
        <v>0</v>
      </c>
      <c r="L106" s="400" t="s">
        <v>755</v>
      </c>
      <c r="M106" s="30"/>
      <c r="N106" s="30">
        <v>0</v>
      </c>
      <c r="O106" s="287">
        <f t="shared" si="37"/>
        <v>0</v>
      </c>
      <c r="P106" s="287">
        <f t="shared" si="35"/>
        <v>0</v>
      </c>
      <c r="Q106" s="288"/>
      <c r="R106" s="243"/>
      <c r="S106" s="378" t="str">
        <f t="shared" si="29"/>
        <v/>
      </c>
    </row>
    <row r="107" spans="2:19" hidden="1" x14ac:dyDescent="0.2">
      <c r="B107" s="609" t="s">
        <v>188</v>
      </c>
      <c r="C107" s="746" t="s">
        <v>188</v>
      </c>
      <c r="D107" s="401"/>
      <c r="E107" s="394"/>
      <c r="F107" s="402"/>
      <c r="G107" s="396"/>
      <c r="H107" s="395"/>
      <c r="I107" s="397"/>
      <c r="J107" s="398"/>
      <c r="K107" s="403">
        <f t="shared" si="36"/>
        <v>0</v>
      </c>
      <c r="L107" s="400" t="s">
        <v>755</v>
      </c>
      <c r="M107" s="30"/>
      <c r="N107" s="30">
        <v>0</v>
      </c>
      <c r="O107" s="287">
        <f t="shared" si="37"/>
        <v>0</v>
      </c>
      <c r="P107" s="287">
        <f t="shared" si="35"/>
        <v>0</v>
      </c>
      <c r="Q107" s="288"/>
      <c r="R107" s="243"/>
      <c r="S107" s="378" t="str">
        <f t="shared" si="29"/>
        <v/>
      </c>
    </row>
    <row r="108" spans="2:19" hidden="1" x14ac:dyDescent="0.2">
      <c r="B108" s="609" t="s">
        <v>188</v>
      </c>
      <c r="C108" s="746" t="s">
        <v>188</v>
      </c>
      <c r="D108" s="401"/>
      <c r="E108" s="394"/>
      <c r="F108" s="402"/>
      <c r="G108" s="396"/>
      <c r="H108" s="395"/>
      <c r="I108" s="397"/>
      <c r="J108" s="398"/>
      <c r="K108" s="403">
        <f t="shared" si="36"/>
        <v>0</v>
      </c>
      <c r="L108" s="400" t="s">
        <v>755</v>
      </c>
      <c r="M108" s="30"/>
      <c r="N108" s="30">
        <v>0</v>
      </c>
      <c r="O108" s="287">
        <f t="shared" si="37"/>
        <v>0</v>
      </c>
      <c r="P108" s="287">
        <f t="shared" si="35"/>
        <v>0</v>
      </c>
      <c r="Q108" s="288"/>
      <c r="R108" s="243"/>
      <c r="S108" s="378" t="str">
        <f t="shared" si="29"/>
        <v/>
      </c>
    </row>
    <row r="109" spans="2:19" hidden="1" x14ac:dyDescent="0.2">
      <c r="B109" s="609" t="s">
        <v>188</v>
      </c>
      <c r="C109" s="746" t="s">
        <v>188</v>
      </c>
      <c r="D109" s="401"/>
      <c r="E109" s="394"/>
      <c r="F109" s="402"/>
      <c r="G109" s="396"/>
      <c r="H109" s="395"/>
      <c r="I109" s="397"/>
      <c r="J109" s="398"/>
      <c r="K109" s="403">
        <f t="shared" si="36"/>
        <v>0</v>
      </c>
      <c r="L109" s="400" t="s">
        <v>755</v>
      </c>
      <c r="M109" s="30"/>
      <c r="N109" s="30">
        <v>0</v>
      </c>
      <c r="O109" s="287">
        <f t="shared" si="37"/>
        <v>0</v>
      </c>
      <c r="P109" s="287">
        <f t="shared" si="35"/>
        <v>0</v>
      </c>
      <c r="Q109" s="288"/>
      <c r="R109" s="243"/>
      <c r="S109" s="378" t="str">
        <f t="shared" si="29"/>
        <v/>
      </c>
    </row>
    <row r="110" spans="2:19" hidden="1" x14ac:dyDescent="0.2">
      <c r="B110" s="609" t="s">
        <v>188</v>
      </c>
      <c r="C110" s="746" t="s">
        <v>188</v>
      </c>
      <c r="D110" s="401"/>
      <c r="E110" s="394"/>
      <c r="F110" s="402"/>
      <c r="G110" s="396"/>
      <c r="H110" s="395"/>
      <c r="I110" s="397"/>
      <c r="J110" s="398"/>
      <c r="K110" s="403">
        <f t="shared" si="36"/>
        <v>0</v>
      </c>
      <c r="L110" s="400" t="s">
        <v>755</v>
      </c>
      <c r="M110" s="30"/>
      <c r="N110" s="30">
        <v>0</v>
      </c>
      <c r="O110" s="287">
        <f t="shared" si="37"/>
        <v>0</v>
      </c>
      <c r="P110" s="287">
        <f t="shared" si="35"/>
        <v>0</v>
      </c>
      <c r="Q110" s="288"/>
      <c r="R110" s="243"/>
      <c r="S110" s="378" t="str">
        <f t="shared" si="29"/>
        <v/>
      </c>
    </row>
    <row r="111" spans="2:19" hidden="1" x14ac:dyDescent="0.2">
      <c r="B111" s="609" t="s">
        <v>188</v>
      </c>
      <c r="C111" s="746" t="s">
        <v>188</v>
      </c>
      <c r="D111" s="401"/>
      <c r="E111" s="394"/>
      <c r="F111" s="402"/>
      <c r="G111" s="396"/>
      <c r="H111" s="395"/>
      <c r="I111" s="397"/>
      <c r="J111" s="398"/>
      <c r="K111" s="403">
        <f t="shared" si="36"/>
        <v>0</v>
      </c>
      <c r="L111" s="400" t="s">
        <v>755</v>
      </c>
      <c r="M111" s="30"/>
      <c r="N111" s="30">
        <v>0</v>
      </c>
      <c r="O111" s="287">
        <f t="shared" si="37"/>
        <v>0</v>
      </c>
      <c r="P111" s="287">
        <f t="shared" si="35"/>
        <v>0</v>
      </c>
      <c r="Q111" s="288"/>
      <c r="R111" s="243"/>
      <c r="S111" s="378" t="str">
        <f t="shared" si="29"/>
        <v/>
      </c>
    </row>
    <row r="112" spans="2:19" hidden="1" x14ac:dyDescent="0.2">
      <c r="B112" s="609" t="s">
        <v>188</v>
      </c>
      <c r="C112" s="746" t="s">
        <v>188</v>
      </c>
      <c r="D112" s="401"/>
      <c r="E112" s="394"/>
      <c r="F112" s="402"/>
      <c r="G112" s="396"/>
      <c r="H112" s="395"/>
      <c r="I112" s="397"/>
      <c r="J112" s="398"/>
      <c r="K112" s="403">
        <f t="shared" si="36"/>
        <v>0</v>
      </c>
      <c r="L112" s="400" t="s">
        <v>755</v>
      </c>
      <c r="M112" s="30"/>
      <c r="N112" s="30">
        <v>0</v>
      </c>
      <c r="O112" s="287">
        <f t="shared" si="37"/>
        <v>0</v>
      </c>
      <c r="P112" s="287">
        <f t="shared" si="35"/>
        <v>0</v>
      </c>
      <c r="Q112" s="288"/>
      <c r="R112" s="243"/>
      <c r="S112" s="378" t="str">
        <f t="shared" si="29"/>
        <v/>
      </c>
    </row>
    <row r="113" spans="2:19" hidden="1" x14ac:dyDescent="0.2">
      <c r="B113" s="609" t="s">
        <v>188</v>
      </c>
      <c r="C113" s="746" t="s">
        <v>188</v>
      </c>
      <c r="D113" s="401"/>
      <c r="E113" s="394"/>
      <c r="F113" s="402"/>
      <c r="G113" s="396"/>
      <c r="H113" s="395"/>
      <c r="I113" s="397"/>
      <c r="J113" s="398"/>
      <c r="K113" s="403">
        <f t="shared" si="36"/>
        <v>0</v>
      </c>
      <c r="L113" s="400" t="s">
        <v>755</v>
      </c>
      <c r="M113" s="30"/>
      <c r="N113" s="30">
        <v>0</v>
      </c>
      <c r="O113" s="287">
        <f t="shared" si="37"/>
        <v>0</v>
      </c>
      <c r="P113" s="287">
        <f t="shared" si="35"/>
        <v>0</v>
      </c>
      <c r="Q113" s="288"/>
      <c r="R113" s="243"/>
      <c r="S113" s="378" t="str">
        <f t="shared" si="29"/>
        <v/>
      </c>
    </row>
    <row r="114" spans="2:19" hidden="1" x14ac:dyDescent="0.2">
      <c r="B114" s="609" t="s">
        <v>188</v>
      </c>
      <c r="C114" s="746" t="s">
        <v>188</v>
      </c>
      <c r="D114" s="401"/>
      <c r="E114" s="394"/>
      <c r="F114" s="402"/>
      <c r="G114" s="396"/>
      <c r="H114" s="395"/>
      <c r="I114" s="397"/>
      <c r="J114" s="398"/>
      <c r="K114" s="403">
        <f t="shared" si="36"/>
        <v>0</v>
      </c>
      <c r="L114" s="400" t="s">
        <v>755</v>
      </c>
      <c r="M114" s="30"/>
      <c r="N114" s="30">
        <v>0</v>
      </c>
      <c r="O114" s="287">
        <f t="shared" si="37"/>
        <v>0</v>
      </c>
      <c r="P114" s="287">
        <f t="shared" si="35"/>
        <v>0</v>
      </c>
      <c r="Q114" s="288"/>
      <c r="R114" s="243"/>
      <c r="S114" s="378" t="str">
        <f t="shared" si="29"/>
        <v/>
      </c>
    </row>
    <row r="115" spans="2:19" ht="13.5" hidden="1" thickBot="1" x14ac:dyDescent="0.25">
      <c r="B115" s="610" t="s">
        <v>188</v>
      </c>
      <c r="C115" s="747" t="s">
        <v>188</v>
      </c>
      <c r="D115" s="404"/>
      <c r="E115" s="405"/>
      <c r="F115" s="406"/>
      <c r="G115" s="407"/>
      <c r="H115" s="408"/>
      <c r="I115" s="409"/>
      <c r="J115" s="410"/>
      <c r="K115" s="411">
        <f t="shared" si="36"/>
        <v>0</v>
      </c>
      <c r="L115" s="412" t="s">
        <v>755</v>
      </c>
      <c r="M115" s="30"/>
      <c r="N115" s="30">
        <v>0</v>
      </c>
      <c r="O115" s="413">
        <f t="shared" si="37"/>
        <v>0</v>
      </c>
      <c r="P115" s="413">
        <f t="shared" si="35"/>
        <v>0</v>
      </c>
      <c r="Q115" s="288"/>
      <c r="R115" s="243"/>
      <c r="S115" s="378" t="str">
        <f t="shared" si="29"/>
        <v/>
      </c>
    </row>
    <row r="116" spans="2:19" ht="13.5" thickBot="1" x14ac:dyDescent="0.25">
      <c r="B116" s="611" t="s">
        <v>190</v>
      </c>
      <c r="C116" s="636"/>
      <c r="D116" s="637" t="s">
        <v>479</v>
      </c>
      <c r="E116" s="635"/>
      <c r="F116" s="626"/>
      <c r="G116" s="627"/>
      <c r="H116" s="628"/>
      <c r="I116" s="605"/>
      <c r="J116" s="605"/>
      <c r="K116" s="605"/>
      <c r="L116" s="605" t="s">
        <v>755</v>
      </c>
      <c r="M116" s="375"/>
      <c r="N116" s="376"/>
      <c r="O116" s="376"/>
      <c r="P116" s="294"/>
      <c r="Q116" s="295">
        <f>SUM(P117:P225)</f>
        <v>98219.44</v>
      </c>
      <c r="R116" s="377" t="str">
        <f>IF(Q116&gt;0,"X","")</f>
        <v>X</v>
      </c>
      <c r="S116" s="378" t="str">
        <f t="shared" si="29"/>
        <v>x</v>
      </c>
    </row>
    <row r="117" spans="2:19" hidden="1" x14ac:dyDescent="0.2">
      <c r="B117" s="730" t="s">
        <v>1931</v>
      </c>
      <c r="C117" s="596" t="s">
        <v>207</v>
      </c>
      <c r="D117" s="383" t="s">
        <v>287</v>
      </c>
      <c r="E117" s="704"/>
      <c r="F117" s="671">
        <v>0.5</v>
      </c>
      <c r="G117" s="701">
        <f>1.5*1.4</f>
        <v>2.0999999999999996</v>
      </c>
      <c r="H117" s="663">
        <f t="shared" ref="H117:H122" si="38">IF(F117&lt;=30,(1.05*F117+2.18)*G117,((1.05*30+2.18)+0.87*(F117-30))*G117)</f>
        <v>5.6804999999999994</v>
      </c>
      <c r="I117" s="776">
        <v>12.066000000000001</v>
      </c>
      <c r="J117" s="631">
        <f t="shared" ref="J117:J129" si="39">IF(ISBLANK(I117),"",SUM(H117:I117))</f>
        <v>17.746500000000001</v>
      </c>
      <c r="K117" s="593">
        <f t="shared" ref="K117:K187" si="40">IF(ISBLANK(I117),0,ROUND(J117*(1+$F$10)*(1+$F$11*E117),2))</f>
        <v>22.49</v>
      </c>
      <c r="L117" s="594" t="s">
        <v>16</v>
      </c>
      <c r="M117" s="30"/>
      <c r="N117" s="30">
        <v>22.49</v>
      </c>
      <c r="O117" s="287">
        <f t="shared" ref="O117:O187" si="41">IF(ISBLANK(M117),0,ROUND(K117*M117,2))</f>
        <v>0</v>
      </c>
      <c r="P117" s="287">
        <f t="shared" ref="P117:P187" si="42">IF(ISBLANK(N117),0,ROUND(M117*N117,2))</f>
        <v>0</v>
      </c>
      <c r="Q117" s="288"/>
      <c r="R117" s="243"/>
      <c r="S117" s="378" t="str">
        <f t="shared" si="29"/>
        <v/>
      </c>
    </row>
    <row r="118" spans="2:19" hidden="1" x14ac:dyDescent="0.2">
      <c r="B118" s="730" t="s">
        <v>1932</v>
      </c>
      <c r="C118" s="596" t="s">
        <v>207</v>
      </c>
      <c r="D118" s="383" t="s">
        <v>288</v>
      </c>
      <c r="E118" s="704"/>
      <c r="F118" s="671">
        <v>15</v>
      </c>
      <c r="G118" s="701">
        <f>1.5*1.4</f>
        <v>2.0999999999999996</v>
      </c>
      <c r="H118" s="663">
        <f t="shared" si="38"/>
        <v>37.652999999999992</v>
      </c>
      <c r="I118" s="776">
        <v>12.066000000000001</v>
      </c>
      <c r="J118" s="631">
        <f t="shared" si="39"/>
        <v>49.718999999999994</v>
      </c>
      <c r="K118" s="593">
        <f t="shared" si="40"/>
        <v>63.02</v>
      </c>
      <c r="L118" s="594" t="s">
        <v>16</v>
      </c>
      <c r="M118" s="30"/>
      <c r="N118" s="30">
        <v>63.02</v>
      </c>
      <c r="O118" s="287">
        <f t="shared" si="41"/>
        <v>0</v>
      </c>
      <c r="P118" s="287">
        <f t="shared" si="42"/>
        <v>0</v>
      </c>
      <c r="Q118" s="288"/>
      <c r="R118" s="243"/>
      <c r="S118" s="378" t="str">
        <f t="shared" si="29"/>
        <v/>
      </c>
    </row>
    <row r="119" spans="2:19" hidden="1" x14ac:dyDescent="0.2">
      <c r="B119" s="731">
        <v>532100</v>
      </c>
      <c r="C119" s="596" t="s">
        <v>207</v>
      </c>
      <c r="D119" s="383" t="s">
        <v>205</v>
      </c>
      <c r="E119" s="704"/>
      <c r="F119" s="671">
        <v>20</v>
      </c>
      <c r="G119" s="665">
        <v>2.1</v>
      </c>
      <c r="H119" s="663">
        <f t="shared" si="38"/>
        <v>48.678000000000004</v>
      </c>
      <c r="I119" s="380">
        <v>77.25</v>
      </c>
      <c r="J119" s="631">
        <f t="shared" si="39"/>
        <v>125.928</v>
      </c>
      <c r="K119" s="593">
        <f t="shared" si="40"/>
        <v>159.61000000000001</v>
      </c>
      <c r="L119" s="594" t="s">
        <v>16</v>
      </c>
      <c r="M119" s="30"/>
      <c r="N119" s="30">
        <v>159.61000000000001</v>
      </c>
      <c r="O119" s="287">
        <f t="shared" si="41"/>
        <v>0</v>
      </c>
      <c r="P119" s="287">
        <f t="shared" si="42"/>
        <v>0</v>
      </c>
      <c r="Q119" s="288"/>
      <c r="R119" s="243"/>
      <c r="S119" s="378" t="str">
        <f t="shared" si="29"/>
        <v/>
      </c>
    </row>
    <row r="120" spans="2:19" hidden="1" x14ac:dyDescent="0.2">
      <c r="B120" s="732">
        <v>452010</v>
      </c>
      <c r="C120" s="748" t="s">
        <v>207</v>
      </c>
      <c r="D120" s="383" t="s">
        <v>211</v>
      </c>
      <c r="E120" s="704"/>
      <c r="F120" s="671">
        <v>15</v>
      </c>
      <c r="G120" s="701">
        <v>1.98</v>
      </c>
      <c r="H120" s="663">
        <f t="shared" si="38"/>
        <v>35.501399999999997</v>
      </c>
      <c r="I120" s="380">
        <v>14.08</v>
      </c>
      <c r="J120" s="631">
        <f t="shared" si="39"/>
        <v>49.581399999999995</v>
      </c>
      <c r="K120" s="593">
        <f t="shared" si="40"/>
        <v>62.84</v>
      </c>
      <c r="L120" s="594" t="s">
        <v>16</v>
      </c>
      <c r="M120" s="30"/>
      <c r="N120" s="30">
        <v>62.84</v>
      </c>
      <c r="O120" s="287">
        <f t="shared" si="41"/>
        <v>0</v>
      </c>
      <c r="P120" s="287">
        <f t="shared" si="42"/>
        <v>0</v>
      </c>
      <c r="Q120" s="288"/>
      <c r="R120" s="243"/>
      <c r="S120" s="378" t="str">
        <f t="shared" si="29"/>
        <v/>
      </c>
    </row>
    <row r="121" spans="2:19" hidden="1" x14ac:dyDescent="0.2">
      <c r="B121" s="730" t="s">
        <v>1933</v>
      </c>
      <c r="C121" s="596" t="s">
        <v>207</v>
      </c>
      <c r="D121" s="417" t="s">
        <v>342</v>
      </c>
      <c r="E121" s="704"/>
      <c r="F121" s="661">
        <v>20</v>
      </c>
      <c r="G121" s="665">
        <v>1.7250000000000001</v>
      </c>
      <c r="H121" s="664">
        <f t="shared" si="38"/>
        <v>39.985500000000002</v>
      </c>
      <c r="I121" s="380">
        <v>88.07</v>
      </c>
      <c r="J121" s="631">
        <f t="shared" si="39"/>
        <v>128.05549999999999</v>
      </c>
      <c r="K121" s="593">
        <f t="shared" si="40"/>
        <v>162.31</v>
      </c>
      <c r="L121" s="594" t="s">
        <v>16</v>
      </c>
      <c r="M121" s="30"/>
      <c r="N121" s="30">
        <v>162.31</v>
      </c>
      <c r="O121" s="287">
        <f t="shared" si="41"/>
        <v>0</v>
      </c>
      <c r="P121" s="287">
        <f t="shared" si="42"/>
        <v>0</v>
      </c>
      <c r="Q121" s="288"/>
      <c r="R121" s="243"/>
      <c r="S121" s="378" t="str">
        <f t="shared" si="29"/>
        <v/>
      </c>
    </row>
    <row r="122" spans="2:19" hidden="1" x14ac:dyDescent="0.2">
      <c r="B122" s="730" t="s">
        <v>1934</v>
      </c>
      <c r="C122" s="596" t="s">
        <v>207</v>
      </c>
      <c r="D122" s="417" t="s">
        <v>343</v>
      </c>
      <c r="E122" s="704"/>
      <c r="F122" s="661">
        <v>20</v>
      </c>
      <c r="G122" s="665">
        <v>1.5</v>
      </c>
      <c r="H122" s="664">
        <f t="shared" si="38"/>
        <v>34.769999999999996</v>
      </c>
      <c r="I122" s="380">
        <v>115.86</v>
      </c>
      <c r="J122" s="631">
        <f t="shared" ref="J122:J128" si="43">IF(ISBLANK(I122),"",SUM(H122:I122))</f>
        <v>150.63</v>
      </c>
      <c r="K122" s="593">
        <f t="shared" ref="K122:K128" si="44">IF(ISBLANK(I122),0,ROUND(J122*(1+$F$10)*(1+$F$11*E122),2))</f>
        <v>190.92</v>
      </c>
      <c r="L122" s="594" t="s">
        <v>16</v>
      </c>
      <c r="M122" s="30"/>
      <c r="N122" s="30">
        <v>190.92</v>
      </c>
      <c r="O122" s="287">
        <f t="shared" ref="O122:O128" si="45">IF(ISBLANK(M122),0,ROUND(K122*M122,2))</f>
        <v>0</v>
      </c>
      <c r="P122" s="287">
        <f t="shared" ref="P122:P128" si="46">IF(ISBLANK(N122),0,ROUND(M122*N122,2))</f>
        <v>0</v>
      </c>
      <c r="Q122" s="288"/>
      <c r="R122" s="243"/>
      <c r="S122" s="378" t="str">
        <f t="shared" ref="S122:S128" si="47">IF(R122="x","x",IF(R122="y","x",IF(R122="xy","x",IF(P122&gt;0,"x",""))))</f>
        <v/>
      </c>
    </row>
    <row r="123" spans="2:19" hidden="1" x14ac:dyDescent="0.2">
      <c r="B123" s="730" t="s">
        <v>1935</v>
      </c>
      <c r="C123" s="596" t="s">
        <v>207</v>
      </c>
      <c r="D123" s="383" t="s">
        <v>275</v>
      </c>
      <c r="E123" s="704"/>
      <c r="F123" s="661"/>
      <c r="G123" s="665"/>
      <c r="H123" s="664">
        <f>SUM(H124:H126)</f>
        <v>257.39480000000003</v>
      </c>
      <c r="I123" s="380">
        <v>387.28999999999996</v>
      </c>
      <c r="J123" s="631">
        <f t="shared" si="43"/>
        <v>644.6848</v>
      </c>
      <c r="K123" s="593">
        <f t="shared" si="44"/>
        <v>817.14</v>
      </c>
      <c r="L123" s="594" t="s">
        <v>16</v>
      </c>
      <c r="M123" s="30"/>
      <c r="N123" s="30">
        <v>817.14</v>
      </c>
      <c r="O123" s="287">
        <f t="shared" si="45"/>
        <v>0</v>
      </c>
      <c r="P123" s="287">
        <f t="shared" si="46"/>
        <v>0</v>
      </c>
      <c r="Q123" s="288"/>
      <c r="R123" s="243"/>
      <c r="S123" s="378" t="str">
        <f t="shared" si="47"/>
        <v/>
      </c>
    </row>
    <row r="124" spans="2:19" hidden="1" x14ac:dyDescent="0.2">
      <c r="B124" s="730" t="s">
        <v>168</v>
      </c>
      <c r="C124" s="596"/>
      <c r="D124" s="417" t="s">
        <v>213</v>
      </c>
      <c r="E124" s="777"/>
      <c r="F124" s="661">
        <v>500</v>
      </c>
      <c r="G124" s="665">
        <v>0.18</v>
      </c>
      <c r="H124" s="664">
        <f>IF(F124&lt;=30,(0.75*F124+6.29)*G124,((0.75*30+6.29)+0.62*(F124-30))*G124)</f>
        <v>57.6342</v>
      </c>
      <c r="I124" s="380">
        <v>0</v>
      </c>
      <c r="J124" s="631"/>
      <c r="K124" s="593">
        <f t="shared" si="44"/>
        <v>0</v>
      </c>
      <c r="L124" s="594" t="s">
        <v>16</v>
      </c>
      <c r="M124" s="30"/>
      <c r="N124" s="30">
        <v>0</v>
      </c>
      <c r="O124" s="287">
        <f t="shared" si="45"/>
        <v>0</v>
      </c>
      <c r="P124" s="287">
        <f t="shared" si="46"/>
        <v>0</v>
      </c>
      <c r="Q124" s="288"/>
      <c r="R124" s="243"/>
      <c r="S124" s="378" t="str">
        <f t="shared" si="47"/>
        <v/>
      </c>
    </row>
    <row r="125" spans="2:19" hidden="1" x14ac:dyDescent="0.2">
      <c r="B125" s="730" t="s">
        <v>168</v>
      </c>
      <c r="C125" s="596"/>
      <c r="D125" s="417" t="s">
        <v>249</v>
      </c>
      <c r="E125" s="777"/>
      <c r="F125" s="661">
        <v>180</v>
      </c>
      <c r="G125" s="665">
        <v>1.06</v>
      </c>
      <c r="H125" s="663">
        <f t="shared" ref="H125:H133" si="48">IF(F125&lt;=30,(1.05*F125+2.18)*G125,((1.05*30+2.18)+0.87*(F125-30))*G125)</f>
        <v>174.03080000000003</v>
      </c>
      <c r="I125" s="380">
        <v>0</v>
      </c>
      <c r="J125" s="631"/>
      <c r="K125" s="593">
        <f t="shared" si="44"/>
        <v>0</v>
      </c>
      <c r="L125" s="594" t="s">
        <v>16</v>
      </c>
      <c r="M125" s="30"/>
      <c r="N125" s="30">
        <v>0</v>
      </c>
      <c r="O125" s="287">
        <f t="shared" si="45"/>
        <v>0</v>
      </c>
      <c r="P125" s="287">
        <f t="shared" si="46"/>
        <v>0</v>
      </c>
      <c r="Q125" s="288"/>
      <c r="R125" s="243"/>
      <c r="S125" s="378" t="str">
        <f t="shared" si="47"/>
        <v/>
      </c>
    </row>
    <row r="126" spans="2:19" hidden="1" x14ac:dyDescent="0.2">
      <c r="B126" s="730" t="s">
        <v>168</v>
      </c>
      <c r="C126" s="596"/>
      <c r="D126" s="417" t="s">
        <v>253</v>
      </c>
      <c r="E126" s="777"/>
      <c r="F126" s="661">
        <v>20</v>
      </c>
      <c r="G126" s="665">
        <v>1.1100000000000001</v>
      </c>
      <c r="H126" s="663">
        <f t="shared" si="48"/>
        <v>25.729800000000001</v>
      </c>
      <c r="I126" s="380">
        <v>0</v>
      </c>
      <c r="J126" s="631"/>
      <c r="K126" s="593">
        <f t="shared" si="44"/>
        <v>0</v>
      </c>
      <c r="L126" s="594" t="s">
        <v>16</v>
      </c>
      <c r="M126" s="30"/>
      <c r="N126" s="30">
        <v>0</v>
      </c>
      <c r="O126" s="287">
        <f t="shared" si="45"/>
        <v>0</v>
      </c>
      <c r="P126" s="287">
        <f t="shared" si="46"/>
        <v>0</v>
      </c>
      <c r="Q126" s="288"/>
      <c r="R126" s="243"/>
      <c r="S126" s="378" t="str">
        <f t="shared" si="47"/>
        <v/>
      </c>
    </row>
    <row r="127" spans="2:19" hidden="1" x14ac:dyDescent="0.2">
      <c r="B127" s="730" t="s">
        <v>1799</v>
      </c>
      <c r="C127" s="596" t="s">
        <v>207</v>
      </c>
      <c r="D127" s="383" t="s">
        <v>1800</v>
      </c>
      <c r="E127" s="704"/>
      <c r="F127" s="661">
        <v>20</v>
      </c>
      <c r="G127" s="665">
        <v>1.73</v>
      </c>
      <c r="H127" s="663">
        <f t="shared" si="48"/>
        <v>40.101399999999998</v>
      </c>
      <c r="I127" s="380">
        <v>70.86999999999999</v>
      </c>
      <c r="J127" s="631">
        <f t="shared" si="43"/>
        <v>110.97139999999999</v>
      </c>
      <c r="K127" s="593">
        <f t="shared" si="44"/>
        <v>140.66</v>
      </c>
      <c r="L127" s="594" t="s">
        <v>16</v>
      </c>
      <c r="M127" s="30"/>
      <c r="N127" s="30">
        <v>140.66</v>
      </c>
      <c r="O127" s="287">
        <f t="shared" si="45"/>
        <v>0</v>
      </c>
      <c r="P127" s="287">
        <f t="shared" si="46"/>
        <v>0</v>
      </c>
      <c r="Q127" s="288"/>
      <c r="R127" s="243"/>
      <c r="S127" s="378" t="str">
        <f t="shared" si="47"/>
        <v/>
      </c>
    </row>
    <row r="128" spans="2:19" hidden="1" x14ac:dyDescent="0.2">
      <c r="B128" s="730" t="s">
        <v>1796</v>
      </c>
      <c r="C128" s="596" t="s">
        <v>207</v>
      </c>
      <c r="D128" s="383" t="s">
        <v>1801</v>
      </c>
      <c r="E128" s="704"/>
      <c r="F128" s="661">
        <v>20</v>
      </c>
      <c r="G128" s="665">
        <v>1.7250000000000001</v>
      </c>
      <c r="H128" s="663">
        <f t="shared" si="48"/>
        <v>39.985500000000002</v>
      </c>
      <c r="I128" s="380">
        <v>88.07</v>
      </c>
      <c r="J128" s="631">
        <f t="shared" si="43"/>
        <v>128.05549999999999</v>
      </c>
      <c r="K128" s="593">
        <f t="shared" si="44"/>
        <v>162.31</v>
      </c>
      <c r="L128" s="594" t="s">
        <v>16</v>
      </c>
      <c r="M128" s="30"/>
      <c r="N128" s="30">
        <v>162.31</v>
      </c>
      <c r="O128" s="287">
        <f t="shared" si="45"/>
        <v>0</v>
      </c>
      <c r="P128" s="287">
        <f t="shared" si="46"/>
        <v>0</v>
      </c>
      <c r="Q128" s="288"/>
      <c r="R128" s="243"/>
      <c r="S128" s="378" t="str">
        <f t="shared" si="47"/>
        <v/>
      </c>
    </row>
    <row r="129" spans="2:19" hidden="1" x14ac:dyDescent="0.2">
      <c r="B129" s="730" t="s">
        <v>1727</v>
      </c>
      <c r="C129" s="596" t="s">
        <v>207</v>
      </c>
      <c r="D129" s="383" t="s">
        <v>1802</v>
      </c>
      <c r="E129" s="704"/>
      <c r="F129" s="671">
        <v>15</v>
      </c>
      <c r="G129" s="665">
        <f>ROUND(1.5*1.5,4)</f>
        <v>2.25</v>
      </c>
      <c r="H129" s="663">
        <f t="shared" si="48"/>
        <v>40.342500000000001</v>
      </c>
      <c r="I129" s="380">
        <v>14.866666666666667</v>
      </c>
      <c r="J129" s="631">
        <f t="shared" si="39"/>
        <v>55.209166666666668</v>
      </c>
      <c r="K129" s="593">
        <f t="shared" si="40"/>
        <v>69.98</v>
      </c>
      <c r="L129" s="594" t="s">
        <v>16</v>
      </c>
      <c r="M129" s="30"/>
      <c r="N129" s="30">
        <v>69.98</v>
      </c>
      <c r="O129" s="287">
        <f t="shared" si="41"/>
        <v>0</v>
      </c>
      <c r="P129" s="287">
        <f t="shared" si="42"/>
        <v>0</v>
      </c>
      <c r="Q129" s="288"/>
      <c r="R129" s="243"/>
      <c r="S129" s="378" t="str">
        <f t="shared" si="29"/>
        <v/>
      </c>
    </row>
    <row r="130" spans="2:19" hidden="1" x14ac:dyDescent="0.2">
      <c r="B130" s="730" t="s">
        <v>1798</v>
      </c>
      <c r="C130" s="596" t="s">
        <v>207</v>
      </c>
      <c r="D130" s="383" t="s">
        <v>1803</v>
      </c>
      <c r="E130" s="704"/>
      <c r="F130" s="661">
        <v>20</v>
      </c>
      <c r="G130" s="665">
        <v>1.5</v>
      </c>
      <c r="H130" s="663">
        <f t="shared" si="48"/>
        <v>34.769999999999996</v>
      </c>
      <c r="I130" s="380">
        <v>115.86</v>
      </c>
      <c r="J130" s="631">
        <f>IF(ISBLANK(I130),"",SUM(H130:I130))</f>
        <v>150.63</v>
      </c>
      <c r="K130" s="593">
        <f t="shared" si="40"/>
        <v>190.92</v>
      </c>
      <c r="L130" s="594" t="s">
        <v>16</v>
      </c>
      <c r="M130" s="30"/>
      <c r="N130" s="30">
        <v>190.92</v>
      </c>
      <c r="O130" s="287">
        <f t="shared" si="41"/>
        <v>0</v>
      </c>
      <c r="P130" s="287">
        <f t="shared" si="42"/>
        <v>0</v>
      </c>
      <c r="Q130" s="288"/>
      <c r="R130" s="243"/>
      <c r="S130" s="378" t="str">
        <f t="shared" si="29"/>
        <v/>
      </c>
    </row>
    <row r="131" spans="2:19" hidden="1" x14ac:dyDescent="0.2">
      <c r="B131" s="731" t="s">
        <v>1723</v>
      </c>
      <c r="C131" s="596" t="s">
        <v>207</v>
      </c>
      <c r="D131" s="383" t="s">
        <v>494</v>
      </c>
      <c r="E131" s="704"/>
      <c r="F131" s="661"/>
      <c r="G131" s="665"/>
      <c r="H131" s="664"/>
      <c r="I131" s="776">
        <v>1.1299999999999999</v>
      </c>
      <c r="J131" s="631">
        <f t="shared" ref="J131:J140" si="49">IF(ISBLANK(I131),"",SUM(H131:I131))</f>
        <v>1.1299999999999999</v>
      </c>
      <c r="K131" s="593">
        <f t="shared" si="40"/>
        <v>1.43</v>
      </c>
      <c r="L131" s="594" t="s">
        <v>16</v>
      </c>
      <c r="M131" s="30"/>
      <c r="N131" s="30">
        <v>1.43</v>
      </c>
      <c r="O131" s="287">
        <f t="shared" si="41"/>
        <v>0</v>
      </c>
      <c r="P131" s="287">
        <f t="shared" si="42"/>
        <v>0</v>
      </c>
      <c r="Q131" s="288"/>
      <c r="R131" s="385"/>
      <c r="S131" s="378" t="str">
        <f t="shared" si="29"/>
        <v/>
      </c>
    </row>
    <row r="132" spans="2:19" hidden="1" x14ac:dyDescent="0.2">
      <c r="B132" s="730" t="s">
        <v>1936</v>
      </c>
      <c r="C132" s="596" t="s">
        <v>207</v>
      </c>
      <c r="D132" s="383" t="s">
        <v>495</v>
      </c>
      <c r="E132" s="704"/>
      <c r="F132" s="671">
        <v>15</v>
      </c>
      <c r="G132" s="701">
        <v>1.95</v>
      </c>
      <c r="H132" s="663">
        <f t="shared" si="48"/>
        <v>34.963499999999996</v>
      </c>
      <c r="I132" s="380">
        <v>23.82</v>
      </c>
      <c r="J132" s="631">
        <f t="shared" si="49"/>
        <v>58.783499999999997</v>
      </c>
      <c r="K132" s="593">
        <f t="shared" si="40"/>
        <v>74.510000000000005</v>
      </c>
      <c r="L132" s="594" t="s">
        <v>16</v>
      </c>
      <c r="M132" s="30"/>
      <c r="N132" s="30">
        <v>74.510000000000005</v>
      </c>
      <c r="O132" s="287">
        <f t="shared" si="41"/>
        <v>0</v>
      </c>
      <c r="P132" s="287">
        <f t="shared" si="42"/>
        <v>0</v>
      </c>
      <c r="Q132" s="288"/>
      <c r="R132" s="243"/>
      <c r="S132" s="378" t="str">
        <f t="shared" si="29"/>
        <v/>
      </c>
    </row>
    <row r="133" spans="2:19" hidden="1" x14ac:dyDescent="0.2">
      <c r="B133" s="730" t="s">
        <v>1937</v>
      </c>
      <c r="C133" s="596" t="s">
        <v>207</v>
      </c>
      <c r="D133" s="383" t="s">
        <v>496</v>
      </c>
      <c r="E133" s="704"/>
      <c r="F133" s="671">
        <v>15</v>
      </c>
      <c r="G133" s="701">
        <v>1.98</v>
      </c>
      <c r="H133" s="663">
        <f t="shared" si="48"/>
        <v>35.501399999999997</v>
      </c>
      <c r="I133" s="380">
        <v>28.259999999999998</v>
      </c>
      <c r="J133" s="631">
        <f t="shared" si="49"/>
        <v>63.761399999999995</v>
      </c>
      <c r="K133" s="593">
        <f t="shared" si="40"/>
        <v>80.819999999999993</v>
      </c>
      <c r="L133" s="594" t="s">
        <v>16</v>
      </c>
      <c r="M133" s="30"/>
      <c r="N133" s="30">
        <v>80.819999999999993</v>
      </c>
      <c r="O133" s="287">
        <f t="shared" si="41"/>
        <v>0</v>
      </c>
      <c r="P133" s="287">
        <f t="shared" si="42"/>
        <v>0</v>
      </c>
      <c r="Q133" s="288"/>
      <c r="R133" s="243"/>
      <c r="S133" s="378" t="str">
        <f t="shared" si="29"/>
        <v/>
      </c>
    </row>
    <row r="134" spans="2:19" x14ac:dyDescent="0.2">
      <c r="B134" s="730" t="s">
        <v>1729</v>
      </c>
      <c r="C134" s="596" t="s">
        <v>207</v>
      </c>
      <c r="D134" s="383" t="s">
        <v>204</v>
      </c>
      <c r="E134" s="704"/>
      <c r="F134" s="671"/>
      <c r="G134" s="665">
        <v>0</v>
      </c>
      <c r="H134" s="664">
        <v>0</v>
      </c>
      <c r="I134" s="380">
        <v>3.87</v>
      </c>
      <c r="J134" s="631">
        <f t="shared" si="49"/>
        <v>3.87</v>
      </c>
      <c r="K134" s="593">
        <f t="shared" si="40"/>
        <v>4.91</v>
      </c>
      <c r="L134" s="594" t="s">
        <v>18</v>
      </c>
      <c r="M134" s="30">
        <v>1435.2</v>
      </c>
      <c r="N134" s="30">
        <v>4.91</v>
      </c>
      <c r="O134" s="287">
        <f t="shared" si="41"/>
        <v>7046.83</v>
      </c>
      <c r="P134" s="287">
        <f t="shared" si="42"/>
        <v>7046.83</v>
      </c>
      <c r="Q134" s="288"/>
      <c r="R134" s="243"/>
      <c r="S134" s="378" t="str">
        <f t="shared" si="29"/>
        <v>x</v>
      </c>
    </row>
    <row r="135" spans="2:19" hidden="1" x14ac:dyDescent="0.2">
      <c r="B135" s="730" t="s">
        <v>1724</v>
      </c>
      <c r="C135" s="596" t="s">
        <v>207</v>
      </c>
      <c r="D135" s="383" t="s">
        <v>191</v>
      </c>
      <c r="E135" s="704"/>
      <c r="F135" s="671">
        <v>0</v>
      </c>
      <c r="G135" s="665"/>
      <c r="H135" s="664">
        <v>0</v>
      </c>
      <c r="I135" s="380">
        <v>4.5599999999999996</v>
      </c>
      <c r="J135" s="631">
        <f t="shared" si="49"/>
        <v>4.5599999999999996</v>
      </c>
      <c r="K135" s="593">
        <f t="shared" si="40"/>
        <v>5.78</v>
      </c>
      <c r="L135" s="594" t="s">
        <v>18</v>
      </c>
      <c r="M135" s="30"/>
      <c r="N135" s="30">
        <v>5.78</v>
      </c>
      <c r="O135" s="287">
        <f t="shared" si="41"/>
        <v>0</v>
      </c>
      <c r="P135" s="287">
        <f t="shared" si="42"/>
        <v>0</v>
      </c>
      <c r="Q135" s="288"/>
      <c r="R135" s="243"/>
      <c r="S135" s="378" t="str">
        <f t="shared" si="29"/>
        <v/>
      </c>
    </row>
    <row r="136" spans="2:19" hidden="1" x14ac:dyDescent="0.2">
      <c r="B136" s="730" t="s">
        <v>1731</v>
      </c>
      <c r="C136" s="596" t="s">
        <v>207</v>
      </c>
      <c r="D136" s="383" t="s">
        <v>203</v>
      </c>
      <c r="E136" s="704"/>
      <c r="F136" s="671">
        <v>0</v>
      </c>
      <c r="G136" s="665">
        <v>0</v>
      </c>
      <c r="H136" s="664">
        <v>0</v>
      </c>
      <c r="I136" s="380">
        <v>0.28000000000000003</v>
      </c>
      <c r="J136" s="631">
        <f t="shared" si="49"/>
        <v>0.28000000000000003</v>
      </c>
      <c r="K136" s="593">
        <f t="shared" si="40"/>
        <v>0.35</v>
      </c>
      <c r="L136" s="594" t="s">
        <v>18</v>
      </c>
      <c r="M136" s="30"/>
      <c r="N136" s="30">
        <v>0.35</v>
      </c>
      <c r="O136" s="287">
        <f t="shared" si="41"/>
        <v>0</v>
      </c>
      <c r="P136" s="287">
        <f t="shared" si="42"/>
        <v>0</v>
      </c>
      <c r="Q136" s="288"/>
      <c r="R136" s="243"/>
      <c r="S136" s="378" t="str">
        <f t="shared" si="29"/>
        <v/>
      </c>
    </row>
    <row r="137" spans="2:19" hidden="1" x14ac:dyDescent="0.2">
      <c r="B137" s="730" t="s">
        <v>1806</v>
      </c>
      <c r="C137" s="596" t="s">
        <v>817</v>
      </c>
      <c r="D137" s="383" t="s">
        <v>206</v>
      </c>
      <c r="E137" s="704"/>
      <c r="F137" s="671">
        <v>0</v>
      </c>
      <c r="G137" s="665"/>
      <c r="H137" s="664">
        <v>0</v>
      </c>
      <c r="I137" s="380">
        <v>2.29</v>
      </c>
      <c r="J137" s="631">
        <f>IF(ISBLANK(I137),"",SUM(H137:I137))</f>
        <v>2.29</v>
      </c>
      <c r="K137" s="593">
        <f t="shared" si="40"/>
        <v>2.9</v>
      </c>
      <c r="L137" s="594" t="s">
        <v>18</v>
      </c>
      <c r="M137" s="30"/>
      <c r="N137" s="30">
        <v>2.9</v>
      </c>
      <c r="O137" s="287">
        <f t="shared" si="41"/>
        <v>0</v>
      </c>
      <c r="P137" s="287">
        <f t="shared" si="42"/>
        <v>0</v>
      </c>
      <c r="Q137" s="288"/>
      <c r="R137" s="243"/>
      <c r="S137" s="378" t="str">
        <f t="shared" si="29"/>
        <v/>
      </c>
    </row>
    <row r="138" spans="2:19" hidden="1" x14ac:dyDescent="0.2">
      <c r="B138" s="732">
        <v>450000</v>
      </c>
      <c r="C138" s="748" t="s">
        <v>207</v>
      </c>
      <c r="D138" s="383" t="s">
        <v>210</v>
      </c>
      <c r="E138" s="704"/>
      <c r="F138" s="671">
        <v>15</v>
      </c>
      <c r="G138" s="701">
        <v>1.98</v>
      </c>
      <c r="H138" s="663">
        <f t="shared" ref="H138:H140" si="50">IF(F138&lt;=30,(1.05*F138+2.18)*G138,((1.05*30+2.18)+0.87*(F138-30))*G138)</f>
        <v>35.501399999999997</v>
      </c>
      <c r="I138" s="380">
        <v>14.08</v>
      </c>
      <c r="J138" s="631">
        <f t="shared" si="49"/>
        <v>49.581399999999995</v>
      </c>
      <c r="K138" s="593">
        <f t="shared" si="40"/>
        <v>62.84</v>
      </c>
      <c r="L138" s="594" t="s">
        <v>16</v>
      </c>
      <c r="M138" s="30"/>
      <c r="N138" s="30">
        <v>62.84</v>
      </c>
      <c r="O138" s="287">
        <f t="shared" si="41"/>
        <v>0</v>
      </c>
      <c r="P138" s="287">
        <f t="shared" si="42"/>
        <v>0</v>
      </c>
      <c r="Q138" s="288"/>
      <c r="R138" s="243"/>
      <c r="S138" s="378" t="str">
        <f t="shared" si="29"/>
        <v/>
      </c>
    </row>
    <row r="139" spans="2:19" hidden="1" x14ac:dyDescent="0.2">
      <c r="B139" s="731">
        <v>541000</v>
      </c>
      <c r="C139" s="596" t="s">
        <v>207</v>
      </c>
      <c r="D139" s="383" t="s">
        <v>212</v>
      </c>
      <c r="E139" s="704"/>
      <c r="F139" s="661">
        <v>15</v>
      </c>
      <c r="G139" s="665">
        <v>2.02</v>
      </c>
      <c r="H139" s="663">
        <f t="shared" si="50"/>
        <v>36.218600000000002</v>
      </c>
      <c r="I139" s="380">
        <v>26.77</v>
      </c>
      <c r="J139" s="631">
        <f t="shared" si="49"/>
        <v>62.988600000000005</v>
      </c>
      <c r="K139" s="593">
        <f t="shared" si="40"/>
        <v>79.84</v>
      </c>
      <c r="L139" s="594" t="s">
        <v>16</v>
      </c>
      <c r="M139" s="30"/>
      <c r="N139" s="30">
        <v>79.84</v>
      </c>
      <c r="O139" s="287">
        <f t="shared" si="41"/>
        <v>0</v>
      </c>
      <c r="P139" s="287">
        <f t="shared" si="42"/>
        <v>0</v>
      </c>
      <c r="Q139" s="288"/>
      <c r="R139" s="243"/>
      <c r="S139" s="378" t="str">
        <f t="shared" si="29"/>
        <v/>
      </c>
    </row>
    <row r="140" spans="2:19" hidden="1" x14ac:dyDescent="0.2">
      <c r="B140" s="730" t="s">
        <v>1938</v>
      </c>
      <c r="C140" s="596" t="s">
        <v>207</v>
      </c>
      <c r="D140" s="383" t="s">
        <v>209</v>
      </c>
      <c r="E140" s="704"/>
      <c r="F140" s="671">
        <v>15</v>
      </c>
      <c r="G140" s="701">
        <v>2.1</v>
      </c>
      <c r="H140" s="663">
        <f t="shared" si="50"/>
        <v>37.652999999999999</v>
      </c>
      <c r="I140" s="380">
        <v>28.259999999999998</v>
      </c>
      <c r="J140" s="631">
        <f t="shared" si="49"/>
        <v>65.912999999999997</v>
      </c>
      <c r="K140" s="593">
        <f t="shared" si="40"/>
        <v>83.54</v>
      </c>
      <c r="L140" s="594" t="s">
        <v>16</v>
      </c>
      <c r="M140" s="30"/>
      <c r="N140" s="30">
        <v>83.54</v>
      </c>
      <c r="O140" s="287">
        <f t="shared" si="41"/>
        <v>0</v>
      </c>
      <c r="P140" s="287">
        <f t="shared" si="42"/>
        <v>0</v>
      </c>
      <c r="Q140" s="288"/>
      <c r="R140" s="243"/>
      <c r="S140" s="378" t="str">
        <f t="shared" si="29"/>
        <v/>
      </c>
    </row>
    <row r="141" spans="2:19" hidden="1" x14ac:dyDescent="0.2">
      <c r="B141" s="731">
        <v>542000</v>
      </c>
      <c r="C141" s="596" t="s">
        <v>207</v>
      </c>
      <c r="D141" s="383" t="s">
        <v>458</v>
      </c>
      <c r="E141" s="704"/>
      <c r="F141" s="671"/>
      <c r="G141" s="665"/>
      <c r="H141" s="664">
        <f>SUM(H142:H143)</f>
        <v>45.250619999999998</v>
      </c>
      <c r="I141" s="380">
        <v>53.580000000000005</v>
      </c>
      <c r="J141" s="631">
        <f t="shared" ref="J141" si="51">IF(ISBLANK(I141),"",SUM(H141:I141))</f>
        <v>98.83062000000001</v>
      </c>
      <c r="K141" s="593">
        <f t="shared" si="40"/>
        <v>125.27</v>
      </c>
      <c r="L141" s="594" t="s">
        <v>16</v>
      </c>
      <c r="M141" s="30"/>
      <c r="N141" s="30">
        <v>125.27</v>
      </c>
      <c r="O141" s="287">
        <f t="shared" si="41"/>
        <v>0</v>
      </c>
      <c r="P141" s="287">
        <f t="shared" si="42"/>
        <v>0</v>
      </c>
      <c r="Q141" s="288"/>
      <c r="R141" s="243"/>
      <c r="S141" s="378" t="str">
        <f t="shared" si="29"/>
        <v/>
      </c>
    </row>
    <row r="142" spans="2:19" hidden="1" x14ac:dyDescent="0.2">
      <c r="B142" s="731" t="s">
        <v>168</v>
      </c>
      <c r="C142" s="596"/>
      <c r="D142" s="417" t="s">
        <v>213</v>
      </c>
      <c r="E142" s="704"/>
      <c r="F142" s="661">
        <v>500</v>
      </c>
      <c r="G142" s="665">
        <v>3.6999999999999998E-2</v>
      </c>
      <c r="H142" s="664">
        <f>IF(F142&lt;=30,(0.75*F142+6.29)*G142,((0.75*30+6.29)+0.62*(F142-30))*G142)</f>
        <v>11.84703</v>
      </c>
      <c r="I142" s="380">
        <v>0</v>
      </c>
      <c r="J142" s="631"/>
      <c r="K142" s="593">
        <f t="shared" si="40"/>
        <v>0</v>
      </c>
      <c r="L142" s="594" t="s">
        <v>755</v>
      </c>
      <c r="M142" s="418"/>
      <c r="N142" s="419">
        <v>0</v>
      </c>
      <c r="O142" s="287">
        <f t="shared" si="41"/>
        <v>0</v>
      </c>
      <c r="P142" s="287">
        <f t="shared" si="42"/>
        <v>0</v>
      </c>
      <c r="Q142" s="288"/>
      <c r="R142" s="311" t="str">
        <f>IF(P141&gt;0,"xy","")</f>
        <v/>
      </c>
      <c r="S142" s="378" t="str">
        <f t="shared" si="29"/>
        <v/>
      </c>
    </row>
    <row r="143" spans="2:19" hidden="1" x14ac:dyDescent="0.2">
      <c r="B143" s="731" t="s">
        <v>168</v>
      </c>
      <c r="C143" s="596"/>
      <c r="D143" s="417" t="s">
        <v>214</v>
      </c>
      <c r="E143" s="704"/>
      <c r="F143" s="671">
        <v>15</v>
      </c>
      <c r="G143" s="665">
        <v>1.863</v>
      </c>
      <c r="H143" s="663">
        <f t="shared" ref="H143" si="52">IF(F143&lt;=30,(1.05*F143+2.18)*G143,((1.05*30+2.18)+0.87*(F143-30))*G143)</f>
        <v>33.403590000000001</v>
      </c>
      <c r="I143" s="380">
        <v>0</v>
      </c>
      <c r="J143" s="631"/>
      <c r="K143" s="593">
        <f t="shared" si="40"/>
        <v>0</v>
      </c>
      <c r="L143" s="594" t="s">
        <v>755</v>
      </c>
      <c r="M143" s="418"/>
      <c r="N143" s="419">
        <v>0</v>
      </c>
      <c r="O143" s="287">
        <f t="shared" si="41"/>
        <v>0</v>
      </c>
      <c r="P143" s="287">
        <f t="shared" si="42"/>
        <v>0</v>
      </c>
      <c r="Q143" s="288"/>
      <c r="R143" s="311" t="str">
        <f>IF(P141&gt;0,"xy","")</f>
        <v/>
      </c>
      <c r="S143" s="378" t="str">
        <f t="shared" si="29"/>
        <v/>
      </c>
    </row>
    <row r="144" spans="2:19" hidden="1" x14ac:dyDescent="0.2">
      <c r="B144" s="731">
        <v>543000</v>
      </c>
      <c r="C144" s="596" t="s">
        <v>207</v>
      </c>
      <c r="D144" s="383" t="s">
        <v>459</v>
      </c>
      <c r="E144" s="704"/>
      <c r="F144" s="671"/>
      <c r="G144" s="665"/>
      <c r="H144" s="664">
        <f>SUM(H145:H146)</f>
        <v>50.691299999999998</v>
      </c>
      <c r="I144" s="380">
        <v>65.78</v>
      </c>
      <c r="J144" s="631">
        <f t="shared" ref="J144:J179" si="53">IF(ISBLANK(I144),"",SUM(H144:I144))</f>
        <v>116.4713</v>
      </c>
      <c r="K144" s="593">
        <f t="shared" si="40"/>
        <v>147.63</v>
      </c>
      <c r="L144" s="594" t="s">
        <v>16</v>
      </c>
      <c r="M144" s="30"/>
      <c r="N144" s="30">
        <v>147.63</v>
      </c>
      <c r="O144" s="287">
        <f t="shared" si="41"/>
        <v>0</v>
      </c>
      <c r="P144" s="287">
        <f t="shared" si="42"/>
        <v>0</v>
      </c>
      <c r="Q144" s="288"/>
      <c r="R144" s="243"/>
      <c r="S144" s="378" t="str">
        <f t="shared" si="29"/>
        <v/>
      </c>
    </row>
    <row r="145" spans="2:19" hidden="1" x14ac:dyDescent="0.2">
      <c r="B145" s="731" t="s">
        <v>168</v>
      </c>
      <c r="C145" s="596"/>
      <c r="D145" s="417" t="s">
        <v>213</v>
      </c>
      <c r="E145" s="704"/>
      <c r="F145" s="661">
        <v>500</v>
      </c>
      <c r="G145" s="665">
        <v>5.5E-2</v>
      </c>
      <c r="H145" s="664">
        <f>IF(F145&lt;=30,(0.75*F145+6.29)*G145,((0.75*30+6.29)+0.62*(F145-30))*G145)</f>
        <v>17.61045</v>
      </c>
      <c r="I145" s="380">
        <v>0</v>
      </c>
      <c r="J145" s="631"/>
      <c r="K145" s="593">
        <f t="shared" si="40"/>
        <v>0</v>
      </c>
      <c r="L145" s="594" t="s">
        <v>755</v>
      </c>
      <c r="M145" s="418"/>
      <c r="N145" s="419">
        <v>0</v>
      </c>
      <c r="O145" s="287">
        <f t="shared" si="41"/>
        <v>0</v>
      </c>
      <c r="P145" s="287">
        <f t="shared" si="42"/>
        <v>0</v>
      </c>
      <c r="Q145" s="288"/>
      <c r="R145" s="311" t="str">
        <f>IF(P144&gt;0,"xy","")</f>
        <v/>
      </c>
      <c r="S145" s="378" t="str">
        <f t="shared" si="29"/>
        <v/>
      </c>
    </row>
    <row r="146" spans="2:19" hidden="1" x14ac:dyDescent="0.2">
      <c r="B146" s="731" t="s">
        <v>168</v>
      </c>
      <c r="C146" s="596"/>
      <c r="D146" s="417" t="s">
        <v>214</v>
      </c>
      <c r="E146" s="704"/>
      <c r="F146" s="671">
        <v>15</v>
      </c>
      <c r="G146" s="665">
        <v>1.845</v>
      </c>
      <c r="H146" s="663">
        <f t="shared" ref="H146" si="54">IF(F146&lt;=30,(1.05*F146+2.18)*G146,((1.05*30+2.18)+0.87*(F146-30))*G146)</f>
        <v>33.080849999999998</v>
      </c>
      <c r="I146" s="380">
        <v>0</v>
      </c>
      <c r="J146" s="631"/>
      <c r="K146" s="593">
        <f t="shared" si="40"/>
        <v>0</v>
      </c>
      <c r="L146" s="594" t="s">
        <v>755</v>
      </c>
      <c r="M146" s="418"/>
      <c r="N146" s="419">
        <v>0</v>
      </c>
      <c r="O146" s="287">
        <f t="shared" si="41"/>
        <v>0</v>
      </c>
      <c r="P146" s="287">
        <f t="shared" si="42"/>
        <v>0</v>
      </c>
      <c r="Q146" s="288"/>
      <c r="R146" s="311" t="str">
        <f>IF(P144&gt;0,"xy","")</f>
        <v/>
      </c>
      <c r="S146" s="378" t="str">
        <f t="shared" si="29"/>
        <v/>
      </c>
    </row>
    <row r="147" spans="2:19" hidden="1" x14ac:dyDescent="0.2">
      <c r="B147" s="731">
        <v>544000</v>
      </c>
      <c r="C147" s="596" t="s">
        <v>207</v>
      </c>
      <c r="D147" s="383" t="s">
        <v>460</v>
      </c>
      <c r="E147" s="704"/>
      <c r="F147" s="671"/>
      <c r="G147" s="665"/>
      <c r="H147" s="664">
        <f>SUM(H148:H149)</f>
        <v>54.630959999999995</v>
      </c>
      <c r="I147" s="380">
        <v>69.52</v>
      </c>
      <c r="J147" s="631">
        <f t="shared" si="53"/>
        <v>124.15096</v>
      </c>
      <c r="K147" s="593">
        <f t="shared" si="40"/>
        <v>157.36000000000001</v>
      </c>
      <c r="L147" s="594" t="s">
        <v>16</v>
      </c>
      <c r="M147" s="30"/>
      <c r="N147" s="30">
        <v>157.36000000000001</v>
      </c>
      <c r="O147" s="287">
        <f t="shared" si="41"/>
        <v>0</v>
      </c>
      <c r="P147" s="287">
        <f t="shared" si="42"/>
        <v>0</v>
      </c>
      <c r="Q147" s="288"/>
      <c r="R147" s="243"/>
      <c r="S147" s="378" t="str">
        <f t="shared" si="29"/>
        <v/>
      </c>
    </row>
    <row r="148" spans="2:19" hidden="1" x14ac:dyDescent="0.2">
      <c r="B148" s="731" t="s">
        <v>168</v>
      </c>
      <c r="C148" s="596"/>
      <c r="D148" s="417" t="s">
        <v>213</v>
      </c>
      <c r="E148" s="704"/>
      <c r="F148" s="661">
        <v>500</v>
      </c>
      <c r="G148" s="665">
        <v>7.0999999999999994E-2</v>
      </c>
      <c r="H148" s="664">
        <f>IF(F148&lt;=30,(0.75*F148+6.29)*G148,((0.75*30+6.29)+0.62*(F148-30))*G148)</f>
        <v>22.733489999999996</v>
      </c>
      <c r="I148" s="380">
        <v>0</v>
      </c>
      <c r="J148" s="631"/>
      <c r="K148" s="593">
        <f t="shared" si="40"/>
        <v>0</v>
      </c>
      <c r="L148" s="594" t="s">
        <v>755</v>
      </c>
      <c r="M148" s="418"/>
      <c r="N148" s="419">
        <v>0</v>
      </c>
      <c r="O148" s="287">
        <f t="shared" si="41"/>
        <v>0</v>
      </c>
      <c r="P148" s="287">
        <f t="shared" si="42"/>
        <v>0</v>
      </c>
      <c r="Q148" s="288"/>
      <c r="R148" s="311" t="str">
        <f>IF(P147&gt;0,"xy","")</f>
        <v/>
      </c>
      <c r="S148" s="378" t="str">
        <f t="shared" si="29"/>
        <v/>
      </c>
    </row>
    <row r="149" spans="2:19" hidden="1" x14ac:dyDescent="0.2">
      <c r="B149" s="731" t="s">
        <v>168</v>
      </c>
      <c r="C149" s="596"/>
      <c r="D149" s="417" t="s">
        <v>214</v>
      </c>
      <c r="E149" s="704"/>
      <c r="F149" s="671">
        <v>15</v>
      </c>
      <c r="G149" s="665">
        <v>1.7789999999999999</v>
      </c>
      <c r="H149" s="663">
        <f t="shared" ref="H149" si="55">IF(F149&lt;=30,(1.05*F149+2.18)*G149,((1.05*30+2.18)+0.87*(F149-30))*G149)</f>
        <v>31.897469999999998</v>
      </c>
      <c r="I149" s="380">
        <v>0</v>
      </c>
      <c r="J149" s="631"/>
      <c r="K149" s="593">
        <f t="shared" si="40"/>
        <v>0</v>
      </c>
      <c r="L149" s="594" t="s">
        <v>755</v>
      </c>
      <c r="M149" s="418"/>
      <c r="N149" s="419">
        <v>0</v>
      </c>
      <c r="O149" s="287">
        <f t="shared" si="41"/>
        <v>0</v>
      </c>
      <c r="P149" s="287">
        <f t="shared" si="42"/>
        <v>0</v>
      </c>
      <c r="Q149" s="288"/>
      <c r="R149" s="311" t="str">
        <f>IF(P147&gt;0,"xy","")</f>
        <v/>
      </c>
      <c r="S149" s="378" t="str">
        <f t="shared" si="29"/>
        <v/>
      </c>
    </row>
    <row r="150" spans="2:19" hidden="1" x14ac:dyDescent="0.2">
      <c r="B150" s="731">
        <v>545000</v>
      </c>
      <c r="C150" s="596" t="s">
        <v>207</v>
      </c>
      <c r="D150" s="383" t="s">
        <v>461</v>
      </c>
      <c r="E150" s="704"/>
      <c r="F150" s="671"/>
      <c r="G150" s="665"/>
      <c r="H150" s="664">
        <f>SUM(H151:H152)</f>
        <v>59.769379999999998</v>
      </c>
      <c r="I150" s="380">
        <v>80.45</v>
      </c>
      <c r="J150" s="631">
        <f t="shared" si="53"/>
        <v>140.21938</v>
      </c>
      <c r="K150" s="593">
        <f t="shared" si="40"/>
        <v>177.73</v>
      </c>
      <c r="L150" s="594" t="s">
        <v>16</v>
      </c>
      <c r="M150" s="30"/>
      <c r="N150" s="30">
        <v>177.73</v>
      </c>
      <c r="O150" s="287">
        <f t="shared" si="41"/>
        <v>0</v>
      </c>
      <c r="P150" s="287">
        <f t="shared" si="42"/>
        <v>0</v>
      </c>
      <c r="Q150" s="288"/>
      <c r="R150" s="243"/>
      <c r="S150" s="378" t="str">
        <f t="shared" si="29"/>
        <v/>
      </c>
    </row>
    <row r="151" spans="2:19" hidden="1" x14ac:dyDescent="0.2">
      <c r="B151" s="731" t="s">
        <v>168</v>
      </c>
      <c r="C151" s="596"/>
      <c r="D151" s="417" t="s">
        <v>213</v>
      </c>
      <c r="E151" s="704"/>
      <c r="F151" s="661">
        <v>500</v>
      </c>
      <c r="G151" s="665">
        <v>8.7999999999999995E-2</v>
      </c>
      <c r="H151" s="664">
        <f>IF(F151&lt;=30,(0.75*F151+6.29)*G151,((0.75*30+6.29)+0.62*(F151-30))*G151)</f>
        <v>28.17672</v>
      </c>
      <c r="I151" s="380">
        <v>0</v>
      </c>
      <c r="J151" s="631"/>
      <c r="K151" s="593">
        <f t="shared" si="40"/>
        <v>0</v>
      </c>
      <c r="L151" s="594" t="s">
        <v>755</v>
      </c>
      <c r="M151" s="418"/>
      <c r="N151" s="419">
        <v>0</v>
      </c>
      <c r="O151" s="287">
        <f t="shared" si="41"/>
        <v>0</v>
      </c>
      <c r="P151" s="287">
        <f t="shared" si="42"/>
        <v>0</v>
      </c>
      <c r="Q151" s="288"/>
      <c r="R151" s="311" t="str">
        <f>IF(P150&gt;0,"xy","")</f>
        <v/>
      </c>
      <c r="S151" s="378" t="str">
        <f t="shared" si="29"/>
        <v/>
      </c>
    </row>
    <row r="152" spans="2:19" hidden="1" x14ac:dyDescent="0.2">
      <c r="B152" s="731" t="s">
        <v>168</v>
      </c>
      <c r="C152" s="596"/>
      <c r="D152" s="417" t="s">
        <v>214</v>
      </c>
      <c r="E152" s="704"/>
      <c r="F152" s="671">
        <v>15</v>
      </c>
      <c r="G152" s="665">
        <v>1.762</v>
      </c>
      <c r="H152" s="663">
        <f t="shared" ref="H152" si="56">IF(F152&lt;=30,(1.05*F152+2.18)*G152,((1.05*30+2.18)+0.87*(F152-30))*G152)</f>
        <v>31.592659999999999</v>
      </c>
      <c r="I152" s="380">
        <v>0</v>
      </c>
      <c r="J152" s="631"/>
      <c r="K152" s="593">
        <f t="shared" si="40"/>
        <v>0</v>
      </c>
      <c r="L152" s="594" t="s">
        <v>755</v>
      </c>
      <c r="M152" s="418"/>
      <c r="N152" s="419">
        <v>0</v>
      </c>
      <c r="O152" s="287">
        <f t="shared" si="41"/>
        <v>0</v>
      </c>
      <c r="P152" s="287">
        <f t="shared" si="42"/>
        <v>0</v>
      </c>
      <c r="Q152" s="288"/>
      <c r="R152" s="311" t="str">
        <f>IF(P150&gt;0,"xy","")</f>
        <v/>
      </c>
      <c r="S152" s="378" t="str">
        <f t="shared" si="29"/>
        <v/>
      </c>
    </row>
    <row r="153" spans="2:19" hidden="1" x14ac:dyDescent="0.2">
      <c r="B153" s="731">
        <v>546000</v>
      </c>
      <c r="C153" s="596" t="s">
        <v>207</v>
      </c>
      <c r="D153" s="383" t="s">
        <v>462</v>
      </c>
      <c r="E153" s="704"/>
      <c r="F153" s="671"/>
      <c r="G153" s="665"/>
      <c r="H153" s="664">
        <f>SUM(H154:H155)</f>
        <v>64.907799999999995</v>
      </c>
      <c r="I153" s="380">
        <v>91.39</v>
      </c>
      <c r="J153" s="631">
        <f t="shared" si="53"/>
        <v>156.2978</v>
      </c>
      <c r="K153" s="593">
        <f t="shared" si="40"/>
        <v>198.11</v>
      </c>
      <c r="L153" s="594" t="s">
        <v>16</v>
      </c>
      <c r="M153" s="30"/>
      <c r="N153" s="30">
        <v>198.11</v>
      </c>
      <c r="O153" s="287">
        <f t="shared" si="41"/>
        <v>0</v>
      </c>
      <c r="P153" s="287">
        <f t="shared" si="42"/>
        <v>0</v>
      </c>
      <c r="Q153" s="288"/>
      <c r="R153" s="243"/>
      <c r="S153" s="378" t="str">
        <f t="shared" si="29"/>
        <v/>
      </c>
    </row>
    <row r="154" spans="2:19" hidden="1" x14ac:dyDescent="0.2">
      <c r="B154" s="731" t="s">
        <v>168</v>
      </c>
      <c r="C154" s="596"/>
      <c r="D154" s="417" t="s">
        <v>213</v>
      </c>
      <c r="E154" s="704"/>
      <c r="F154" s="661">
        <v>500</v>
      </c>
      <c r="G154" s="665">
        <v>0.105</v>
      </c>
      <c r="H154" s="664">
        <f>IF(F154&lt;=30,(0.75*F154+6.29)*G154,((0.75*30+6.29)+0.62*(F154-30))*G154)</f>
        <v>33.619949999999996</v>
      </c>
      <c r="I154" s="380"/>
      <c r="J154" s="631"/>
      <c r="K154" s="593">
        <f t="shared" si="40"/>
        <v>0</v>
      </c>
      <c r="L154" s="594" t="s">
        <v>755</v>
      </c>
      <c r="M154" s="418"/>
      <c r="N154" s="419">
        <v>0</v>
      </c>
      <c r="O154" s="287">
        <f t="shared" si="41"/>
        <v>0</v>
      </c>
      <c r="P154" s="287">
        <f t="shared" si="42"/>
        <v>0</v>
      </c>
      <c r="Q154" s="288"/>
      <c r="R154" s="311" t="str">
        <f>IF(P153&gt;0,"xy","")</f>
        <v/>
      </c>
      <c r="S154" s="378" t="str">
        <f t="shared" si="29"/>
        <v/>
      </c>
    </row>
    <row r="155" spans="2:19" hidden="1" x14ac:dyDescent="0.2">
      <c r="B155" s="731" t="s">
        <v>168</v>
      </c>
      <c r="C155" s="596"/>
      <c r="D155" s="417" t="s">
        <v>214</v>
      </c>
      <c r="E155" s="704"/>
      <c r="F155" s="671">
        <v>15</v>
      </c>
      <c r="G155" s="665">
        <v>1.7450000000000001</v>
      </c>
      <c r="H155" s="663">
        <f t="shared" ref="H155" si="57">IF(F155&lt;=30,(1.05*F155+2.18)*G155,((1.05*30+2.18)+0.87*(F155-30))*G155)</f>
        <v>31.287850000000002</v>
      </c>
      <c r="I155" s="380"/>
      <c r="J155" s="631"/>
      <c r="K155" s="593">
        <f t="shared" si="40"/>
        <v>0</v>
      </c>
      <c r="L155" s="594" t="s">
        <v>755</v>
      </c>
      <c r="M155" s="418"/>
      <c r="N155" s="419">
        <v>0</v>
      </c>
      <c r="O155" s="287">
        <f t="shared" si="41"/>
        <v>0</v>
      </c>
      <c r="P155" s="287">
        <f t="shared" si="42"/>
        <v>0</v>
      </c>
      <c r="Q155" s="288"/>
      <c r="R155" s="311" t="str">
        <f>IF(P153&gt;0,"xy","")</f>
        <v/>
      </c>
      <c r="S155" s="378" t="str">
        <f t="shared" si="29"/>
        <v/>
      </c>
    </row>
    <row r="156" spans="2:19" hidden="1" x14ac:dyDescent="0.2">
      <c r="B156" s="731">
        <v>547000</v>
      </c>
      <c r="C156" s="596" t="s">
        <v>207</v>
      </c>
      <c r="D156" s="383" t="s">
        <v>1939</v>
      </c>
      <c r="E156" s="704"/>
      <c r="F156" s="671"/>
      <c r="G156" s="665"/>
      <c r="H156" s="664">
        <f>SUM(H157:H158)</f>
        <v>69.726029999999994</v>
      </c>
      <c r="I156" s="380">
        <v>103.25999999999999</v>
      </c>
      <c r="J156" s="631">
        <f t="shared" si="53"/>
        <v>172.98602999999997</v>
      </c>
      <c r="K156" s="593">
        <f t="shared" si="40"/>
        <v>219.26</v>
      </c>
      <c r="L156" s="594" t="s">
        <v>16</v>
      </c>
      <c r="M156" s="30"/>
      <c r="N156" s="30">
        <v>219.26</v>
      </c>
      <c r="O156" s="287">
        <f t="shared" si="41"/>
        <v>0</v>
      </c>
      <c r="P156" s="287">
        <f t="shared" si="42"/>
        <v>0</v>
      </c>
      <c r="Q156" s="288"/>
      <c r="R156" s="243"/>
      <c r="S156" s="378" t="str">
        <f t="shared" si="29"/>
        <v/>
      </c>
    </row>
    <row r="157" spans="2:19" hidden="1" x14ac:dyDescent="0.2">
      <c r="B157" s="731" t="s">
        <v>168</v>
      </c>
      <c r="C157" s="596"/>
      <c r="D157" s="417" t="s">
        <v>213</v>
      </c>
      <c r="E157" s="704"/>
      <c r="F157" s="661">
        <v>500</v>
      </c>
      <c r="G157" s="665">
        <v>0.121</v>
      </c>
      <c r="H157" s="664">
        <f>IF(F157&lt;=30,(0.75*F157+6.29)*G157,((0.75*30+6.29)+0.62*(F157-30))*G157)</f>
        <v>38.742989999999999</v>
      </c>
      <c r="I157" s="380"/>
      <c r="J157" s="631"/>
      <c r="K157" s="593">
        <f t="shared" si="40"/>
        <v>0</v>
      </c>
      <c r="L157" s="594" t="s">
        <v>755</v>
      </c>
      <c r="M157" s="418"/>
      <c r="N157" s="419">
        <v>0</v>
      </c>
      <c r="O157" s="287">
        <f t="shared" si="41"/>
        <v>0</v>
      </c>
      <c r="P157" s="287">
        <f t="shared" si="42"/>
        <v>0</v>
      </c>
      <c r="Q157" s="288"/>
      <c r="R157" s="311" t="str">
        <f>IF(P156&gt;0,"xy","")</f>
        <v/>
      </c>
      <c r="S157" s="378" t="str">
        <f t="shared" si="29"/>
        <v/>
      </c>
    </row>
    <row r="158" spans="2:19" hidden="1" x14ac:dyDescent="0.2">
      <c r="B158" s="731" t="s">
        <v>168</v>
      </c>
      <c r="C158" s="596"/>
      <c r="D158" s="417" t="s">
        <v>214</v>
      </c>
      <c r="E158" s="704"/>
      <c r="F158" s="671">
        <v>15</v>
      </c>
      <c r="G158" s="665">
        <v>1.728</v>
      </c>
      <c r="H158" s="663">
        <f t="shared" ref="H158" si="58">IF(F158&lt;=30,(1.05*F158+2.18)*G158,((1.05*30+2.18)+0.87*(F158-30))*G158)</f>
        <v>30.983039999999999</v>
      </c>
      <c r="I158" s="380"/>
      <c r="J158" s="631"/>
      <c r="K158" s="593">
        <f t="shared" si="40"/>
        <v>0</v>
      </c>
      <c r="L158" s="594" t="s">
        <v>755</v>
      </c>
      <c r="M158" s="418"/>
      <c r="N158" s="419">
        <v>0</v>
      </c>
      <c r="O158" s="287">
        <f t="shared" si="41"/>
        <v>0</v>
      </c>
      <c r="P158" s="287">
        <f t="shared" si="42"/>
        <v>0</v>
      </c>
      <c r="Q158" s="288"/>
      <c r="R158" s="311" t="str">
        <f>IF(P156&gt;0,"xy","")</f>
        <v/>
      </c>
      <c r="S158" s="378" t="str">
        <f t="shared" ref="S158:S221" si="59">IF(R158="x","x",IF(R158="y","x",IF(R158="xy","x",IF(P158&gt;0,"x",""))))</f>
        <v/>
      </c>
    </row>
    <row r="159" spans="2:19" hidden="1" x14ac:dyDescent="0.2">
      <c r="B159" s="731">
        <v>542100</v>
      </c>
      <c r="C159" s="596" t="s">
        <v>207</v>
      </c>
      <c r="D159" s="383" t="s">
        <v>463</v>
      </c>
      <c r="E159" s="704"/>
      <c r="F159" s="671"/>
      <c r="G159" s="665"/>
      <c r="H159" s="664">
        <f>SUM(H160:H162)</f>
        <v>53.861090000000004</v>
      </c>
      <c r="I159" s="380">
        <v>54.02</v>
      </c>
      <c r="J159" s="631">
        <f t="shared" si="53"/>
        <v>107.88109</v>
      </c>
      <c r="K159" s="593">
        <f t="shared" si="40"/>
        <v>136.74</v>
      </c>
      <c r="L159" s="594" t="s">
        <v>16</v>
      </c>
      <c r="M159" s="30"/>
      <c r="N159" s="30">
        <v>136.74</v>
      </c>
      <c r="O159" s="287">
        <f t="shared" si="41"/>
        <v>0</v>
      </c>
      <c r="P159" s="287">
        <f t="shared" si="42"/>
        <v>0</v>
      </c>
      <c r="Q159" s="288"/>
      <c r="R159" s="243"/>
      <c r="S159" s="378" t="str">
        <f t="shared" si="59"/>
        <v/>
      </c>
    </row>
    <row r="160" spans="2:19" hidden="1" x14ac:dyDescent="0.2">
      <c r="B160" s="731" t="s">
        <v>168</v>
      </c>
      <c r="C160" s="596"/>
      <c r="D160" s="417" t="s">
        <v>213</v>
      </c>
      <c r="E160" s="704"/>
      <c r="F160" s="661">
        <v>500</v>
      </c>
      <c r="G160" s="665">
        <v>3.6999999999999998E-2</v>
      </c>
      <c r="H160" s="664">
        <f>IF(F160&lt;=30,(0.75*F160+6.29)*G160,((0.75*30+6.29)+0.62*(F160-30))*G160)</f>
        <v>11.84703</v>
      </c>
      <c r="I160" s="380"/>
      <c r="J160" s="631"/>
      <c r="K160" s="593">
        <f t="shared" si="40"/>
        <v>0</v>
      </c>
      <c r="L160" s="594" t="s">
        <v>755</v>
      </c>
      <c r="M160" s="418"/>
      <c r="N160" s="419">
        <v>0</v>
      </c>
      <c r="O160" s="287">
        <f t="shared" si="41"/>
        <v>0</v>
      </c>
      <c r="P160" s="287">
        <f t="shared" si="42"/>
        <v>0</v>
      </c>
      <c r="Q160" s="288"/>
      <c r="R160" s="311" t="str">
        <f>IF(P159&gt;0,"xy","")</f>
        <v/>
      </c>
      <c r="S160" s="378" t="str">
        <f t="shared" si="59"/>
        <v/>
      </c>
    </row>
    <row r="161" spans="2:19" hidden="1" x14ac:dyDescent="0.2">
      <c r="B161" s="731" t="s">
        <v>168</v>
      </c>
      <c r="C161" s="596"/>
      <c r="D161" s="417" t="s">
        <v>214</v>
      </c>
      <c r="E161" s="704"/>
      <c r="F161" s="671">
        <v>10</v>
      </c>
      <c r="G161" s="665">
        <v>1.9</v>
      </c>
      <c r="H161" s="663">
        <f t="shared" ref="H161" si="60">IF(F161&lt;=30,(1.05*F161+2.18)*G161,((1.05*30+2.18)+0.87*(F161-30))*G161)</f>
        <v>24.091999999999999</v>
      </c>
      <c r="I161" s="380"/>
      <c r="J161" s="631"/>
      <c r="K161" s="593">
        <f t="shared" si="40"/>
        <v>0</v>
      </c>
      <c r="L161" s="594" t="s">
        <v>755</v>
      </c>
      <c r="M161" s="418"/>
      <c r="N161" s="419">
        <v>0</v>
      </c>
      <c r="O161" s="287">
        <f t="shared" si="41"/>
        <v>0</v>
      </c>
      <c r="P161" s="287">
        <f t="shared" si="42"/>
        <v>0</v>
      </c>
      <c r="Q161" s="288"/>
      <c r="R161" s="311" t="str">
        <f>IF(P159&gt;0,"xy","")</f>
        <v/>
      </c>
      <c r="S161" s="378" t="str">
        <f t="shared" si="59"/>
        <v/>
      </c>
    </row>
    <row r="162" spans="2:19" hidden="1" x14ac:dyDescent="0.2">
      <c r="B162" s="731" t="s">
        <v>168</v>
      </c>
      <c r="C162" s="596"/>
      <c r="D162" s="417" t="s">
        <v>215</v>
      </c>
      <c r="E162" s="704"/>
      <c r="F162" s="671">
        <v>5</v>
      </c>
      <c r="G162" s="665">
        <v>1.863</v>
      </c>
      <c r="H162" s="663">
        <f>IF(F162&lt;=30,(1.05*F162+4.37)*G162,((1.05*30+4.37)+0.87*(F162-30))*G162)</f>
        <v>17.922060000000002</v>
      </c>
      <c r="I162" s="380"/>
      <c r="J162" s="631"/>
      <c r="K162" s="593">
        <f t="shared" si="40"/>
        <v>0</v>
      </c>
      <c r="L162" s="594" t="s">
        <v>755</v>
      </c>
      <c r="M162" s="418"/>
      <c r="N162" s="419">
        <v>0</v>
      </c>
      <c r="O162" s="287">
        <f t="shared" si="41"/>
        <v>0</v>
      </c>
      <c r="P162" s="287">
        <f t="shared" si="42"/>
        <v>0</v>
      </c>
      <c r="Q162" s="288"/>
      <c r="R162" s="311" t="str">
        <f>IF(P159&gt;0,"xy","")</f>
        <v/>
      </c>
      <c r="S162" s="378" t="str">
        <f t="shared" si="59"/>
        <v/>
      </c>
    </row>
    <row r="163" spans="2:19" hidden="1" x14ac:dyDescent="0.2">
      <c r="B163" s="731">
        <v>543100</v>
      </c>
      <c r="C163" s="596" t="s">
        <v>207</v>
      </c>
      <c r="D163" s="383" t="s">
        <v>464</v>
      </c>
      <c r="E163" s="704"/>
      <c r="F163" s="671"/>
      <c r="G163" s="665"/>
      <c r="H163" s="664">
        <f>SUM(H164:H166)</f>
        <v>59.451350000000005</v>
      </c>
      <c r="I163" s="380">
        <v>62.92</v>
      </c>
      <c r="J163" s="631">
        <f t="shared" si="53"/>
        <v>122.37135000000001</v>
      </c>
      <c r="K163" s="593">
        <f t="shared" si="40"/>
        <v>155.11000000000001</v>
      </c>
      <c r="L163" s="594" t="s">
        <v>16</v>
      </c>
      <c r="M163" s="30"/>
      <c r="N163" s="30">
        <v>155.11000000000001</v>
      </c>
      <c r="O163" s="287">
        <f t="shared" si="41"/>
        <v>0</v>
      </c>
      <c r="P163" s="287">
        <f t="shared" si="42"/>
        <v>0</v>
      </c>
      <c r="Q163" s="288"/>
      <c r="R163" s="243"/>
      <c r="S163" s="378" t="str">
        <f t="shared" si="59"/>
        <v/>
      </c>
    </row>
    <row r="164" spans="2:19" hidden="1" x14ac:dyDescent="0.2">
      <c r="B164" s="731" t="s">
        <v>168</v>
      </c>
      <c r="C164" s="596"/>
      <c r="D164" s="417" t="s">
        <v>213</v>
      </c>
      <c r="E164" s="704"/>
      <c r="F164" s="661">
        <v>500</v>
      </c>
      <c r="G164" s="665">
        <v>5.5E-2</v>
      </c>
      <c r="H164" s="664">
        <f>IF(F164&lt;=30,(0.75*F164+6.29)*G164,((0.75*30+6.29)+0.62*(F164-30))*G164)</f>
        <v>17.61045</v>
      </c>
      <c r="I164" s="380"/>
      <c r="J164" s="631"/>
      <c r="K164" s="593">
        <f t="shared" si="40"/>
        <v>0</v>
      </c>
      <c r="L164" s="594" t="s">
        <v>755</v>
      </c>
      <c r="M164" s="418"/>
      <c r="N164" s="419">
        <v>0</v>
      </c>
      <c r="O164" s="287">
        <f t="shared" si="41"/>
        <v>0</v>
      </c>
      <c r="P164" s="287">
        <f t="shared" si="42"/>
        <v>0</v>
      </c>
      <c r="Q164" s="288"/>
      <c r="R164" s="311" t="str">
        <f>IF(P163&gt;0,"xy","")</f>
        <v/>
      </c>
      <c r="S164" s="378" t="str">
        <f t="shared" si="59"/>
        <v/>
      </c>
    </row>
    <row r="165" spans="2:19" hidden="1" x14ac:dyDescent="0.2">
      <c r="B165" s="731" t="s">
        <v>168</v>
      </c>
      <c r="C165" s="596"/>
      <c r="D165" s="417" t="s">
        <v>214</v>
      </c>
      <c r="E165" s="704"/>
      <c r="F165" s="671">
        <v>10</v>
      </c>
      <c r="G165" s="665">
        <v>1.9</v>
      </c>
      <c r="H165" s="663">
        <f t="shared" ref="H165" si="61">IF(F165&lt;=30,(1.05*F165+2.18)*G165,((1.05*30+2.18)+0.87*(F165-30))*G165)</f>
        <v>24.091999999999999</v>
      </c>
      <c r="I165" s="380"/>
      <c r="J165" s="631"/>
      <c r="K165" s="593">
        <f t="shared" si="40"/>
        <v>0</v>
      </c>
      <c r="L165" s="594" t="s">
        <v>755</v>
      </c>
      <c r="M165" s="418"/>
      <c r="N165" s="419">
        <v>0</v>
      </c>
      <c r="O165" s="287">
        <f t="shared" si="41"/>
        <v>0</v>
      </c>
      <c r="P165" s="287">
        <f t="shared" si="42"/>
        <v>0</v>
      </c>
      <c r="Q165" s="288"/>
      <c r="R165" s="311" t="str">
        <f>IF(P163&gt;0,"xy","")</f>
        <v/>
      </c>
      <c r="S165" s="378" t="str">
        <f t="shared" si="59"/>
        <v/>
      </c>
    </row>
    <row r="166" spans="2:19" hidden="1" x14ac:dyDescent="0.2">
      <c r="B166" s="731" t="s">
        <v>168</v>
      </c>
      <c r="C166" s="596"/>
      <c r="D166" s="417" t="s">
        <v>215</v>
      </c>
      <c r="E166" s="704"/>
      <c r="F166" s="671">
        <v>5</v>
      </c>
      <c r="G166" s="665">
        <v>1.845</v>
      </c>
      <c r="H166" s="663">
        <f>IF(F166&lt;=30,(1.05*F166+4.37)*G166,((1.05*30+4.37)+0.87*(F166-30))*G166)</f>
        <v>17.748900000000003</v>
      </c>
      <c r="I166" s="380"/>
      <c r="J166" s="631"/>
      <c r="K166" s="593">
        <f t="shared" si="40"/>
        <v>0</v>
      </c>
      <c r="L166" s="594" t="s">
        <v>755</v>
      </c>
      <c r="M166" s="418"/>
      <c r="N166" s="419">
        <v>0</v>
      </c>
      <c r="O166" s="287">
        <f t="shared" si="41"/>
        <v>0</v>
      </c>
      <c r="P166" s="287">
        <f t="shared" si="42"/>
        <v>0</v>
      </c>
      <c r="Q166" s="288"/>
      <c r="R166" s="311" t="str">
        <f>IF(P163&gt;0,"xy","")</f>
        <v/>
      </c>
      <c r="S166" s="378" t="str">
        <f t="shared" si="59"/>
        <v/>
      </c>
    </row>
    <row r="167" spans="2:19" hidden="1" x14ac:dyDescent="0.2">
      <c r="B167" s="731">
        <v>544100</v>
      </c>
      <c r="C167" s="596" t="s">
        <v>207</v>
      </c>
      <c r="D167" s="383" t="s">
        <v>465</v>
      </c>
      <c r="E167" s="704"/>
      <c r="F167" s="671"/>
      <c r="G167" s="665"/>
      <c r="H167" s="664">
        <f>SUM(H168:H170)</f>
        <v>63.30547</v>
      </c>
      <c r="I167" s="380">
        <v>64.179999999999993</v>
      </c>
      <c r="J167" s="631">
        <f t="shared" si="53"/>
        <v>127.48546999999999</v>
      </c>
      <c r="K167" s="593">
        <f t="shared" si="40"/>
        <v>161.59</v>
      </c>
      <c r="L167" s="594" t="s">
        <v>16</v>
      </c>
      <c r="M167" s="30"/>
      <c r="N167" s="30">
        <v>161.59</v>
      </c>
      <c r="O167" s="287">
        <f t="shared" si="41"/>
        <v>0</v>
      </c>
      <c r="P167" s="287">
        <f t="shared" si="42"/>
        <v>0</v>
      </c>
      <c r="Q167" s="288"/>
      <c r="R167" s="243"/>
      <c r="S167" s="378" t="str">
        <f t="shared" si="59"/>
        <v/>
      </c>
    </row>
    <row r="168" spans="2:19" hidden="1" x14ac:dyDescent="0.2">
      <c r="B168" s="731" t="s">
        <v>168</v>
      </c>
      <c r="C168" s="596"/>
      <c r="D168" s="417" t="s">
        <v>213</v>
      </c>
      <c r="E168" s="704"/>
      <c r="F168" s="661">
        <v>500</v>
      </c>
      <c r="G168" s="665">
        <v>7.0999999999999994E-2</v>
      </c>
      <c r="H168" s="664">
        <f>IF(F168&lt;=30,(0.75*F168+6.29)*G168,((0.75*30+6.29)+0.62*(F168-30))*G168)</f>
        <v>22.733489999999996</v>
      </c>
      <c r="I168" s="380"/>
      <c r="J168" s="631"/>
      <c r="K168" s="593">
        <f t="shared" si="40"/>
        <v>0</v>
      </c>
      <c r="L168" s="594" t="s">
        <v>755</v>
      </c>
      <c r="M168" s="418"/>
      <c r="N168" s="419">
        <v>0</v>
      </c>
      <c r="O168" s="287">
        <f t="shared" si="41"/>
        <v>0</v>
      </c>
      <c r="P168" s="287">
        <f t="shared" si="42"/>
        <v>0</v>
      </c>
      <c r="Q168" s="288"/>
      <c r="R168" s="311" t="str">
        <f>IF(P167&gt;0,"xy","")</f>
        <v/>
      </c>
      <c r="S168" s="378" t="str">
        <f t="shared" si="59"/>
        <v/>
      </c>
    </row>
    <row r="169" spans="2:19" hidden="1" x14ac:dyDescent="0.2">
      <c r="B169" s="731" t="s">
        <v>168</v>
      </c>
      <c r="C169" s="596"/>
      <c r="D169" s="417" t="s">
        <v>214</v>
      </c>
      <c r="E169" s="704"/>
      <c r="F169" s="671">
        <v>10</v>
      </c>
      <c r="G169" s="665">
        <v>1.85</v>
      </c>
      <c r="H169" s="663">
        <f t="shared" ref="H169" si="62">IF(F169&lt;=30,(1.05*F169+2.18)*G169,((1.05*30+2.18)+0.87*(F169-30))*G169)</f>
        <v>23.458000000000002</v>
      </c>
      <c r="I169" s="380"/>
      <c r="J169" s="631"/>
      <c r="K169" s="593">
        <f t="shared" si="40"/>
        <v>0</v>
      </c>
      <c r="L169" s="594" t="s">
        <v>755</v>
      </c>
      <c r="M169" s="418"/>
      <c r="N169" s="419">
        <v>0</v>
      </c>
      <c r="O169" s="287">
        <f t="shared" si="41"/>
        <v>0</v>
      </c>
      <c r="P169" s="287">
        <f t="shared" si="42"/>
        <v>0</v>
      </c>
      <c r="Q169" s="288"/>
      <c r="R169" s="311" t="str">
        <f>IF(P167&gt;0,"xy","")</f>
        <v/>
      </c>
      <c r="S169" s="378" t="str">
        <f t="shared" si="59"/>
        <v/>
      </c>
    </row>
    <row r="170" spans="2:19" hidden="1" x14ac:dyDescent="0.2">
      <c r="B170" s="731" t="s">
        <v>168</v>
      </c>
      <c r="C170" s="596"/>
      <c r="D170" s="417" t="s">
        <v>215</v>
      </c>
      <c r="E170" s="704"/>
      <c r="F170" s="671">
        <v>5</v>
      </c>
      <c r="G170" s="665">
        <v>1.7789999999999999</v>
      </c>
      <c r="H170" s="663">
        <f>IF(F170&lt;=30,(1.05*F170+4.37)*G170,((1.05*30+4.37)+0.87*(F170-30))*G170)</f>
        <v>17.113980000000002</v>
      </c>
      <c r="I170" s="380"/>
      <c r="J170" s="631"/>
      <c r="K170" s="593">
        <f t="shared" si="40"/>
        <v>0</v>
      </c>
      <c r="L170" s="594" t="s">
        <v>755</v>
      </c>
      <c r="M170" s="418"/>
      <c r="N170" s="419">
        <v>0</v>
      </c>
      <c r="O170" s="287">
        <f t="shared" si="41"/>
        <v>0</v>
      </c>
      <c r="P170" s="287">
        <f t="shared" si="42"/>
        <v>0</v>
      </c>
      <c r="Q170" s="288"/>
      <c r="R170" s="311" t="str">
        <f>IF(P167&gt;0,"xy","")</f>
        <v/>
      </c>
      <c r="S170" s="378" t="str">
        <f t="shared" si="59"/>
        <v/>
      </c>
    </row>
    <row r="171" spans="2:19" hidden="1" x14ac:dyDescent="0.2">
      <c r="B171" s="731">
        <v>545100</v>
      </c>
      <c r="C171" s="596" t="s">
        <v>207</v>
      </c>
      <c r="D171" s="383" t="s">
        <v>466</v>
      </c>
      <c r="E171" s="704"/>
      <c r="F171" s="671"/>
      <c r="G171" s="665"/>
      <c r="H171" s="664">
        <f>SUM(H172:H174)</f>
        <v>68.585160000000002</v>
      </c>
      <c r="I171" s="380">
        <v>72.589999999999989</v>
      </c>
      <c r="J171" s="631">
        <f t="shared" si="53"/>
        <v>141.17516000000001</v>
      </c>
      <c r="K171" s="593">
        <f t="shared" si="40"/>
        <v>178.94</v>
      </c>
      <c r="L171" s="594" t="s">
        <v>16</v>
      </c>
      <c r="M171" s="30"/>
      <c r="N171" s="30">
        <v>178.94</v>
      </c>
      <c r="O171" s="287">
        <f t="shared" si="41"/>
        <v>0</v>
      </c>
      <c r="P171" s="287">
        <f t="shared" si="42"/>
        <v>0</v>
      </c>
      <c r="Q171" s="288"/>
      <c r="R171" s="243"/>
      <c r="S171" s="378" t="str">
        <f t="shared" si="59"/>
        <v/>
      </c>
    </row>
    <row r="172" spans="2:19" hidden="1" x14ac:dyDescent="0.2">
      <c r="B172" s="731" t="s">
        <v>168</v>
      </c>
      <c r="C172" s="596"/>
      <c r="D172" s="417" t="s">
        <v>213</v>
      </c>
      <c r="E172" s="704"/>
      <c r="F172" s="661">
        <v>500</v>
      </c>
      <c r="G172" s="665">
        <v>8.7999999999999995E-2</v>
      </c>
      <c r="H172" s="664">
        <f>IF(F172&lt;=30,(0.75*F172+6.29)*G172,((0.75*30+6.29)+0.62*(F172-30))*G172)</f>
        <v>28.17672</v>
      </c>
      <c r="I172" s="380">
        <v>0</v>
      </c>
      <c r="J172" s="631"/>
      <c r="K172" s="593">
        <f t="shared" si="40"/>
        <v>0</v>
      </c>
      <c r="L172" s="594" t="s">
        <v>755</v>
      </c>
      <c r="M172" s="418"/>
      <c r="N172" s="419">
        <v>0</v>
      </c>
      <c r="O172" s="287">
        <f t="shared" si="41"/>
        <v>0</v>
      </c>
      <c r="P172" s="287">
        <f t="shared" si="42"/>
        <v>0</v>
      </c>
      <c r="Q172" s="288"/>
      <c r="R172" s="311" t="str">
        <f>IF(P171&gt;0,"xy","")</f>
        <v/>
      </c>
      <c r="S172" s="378" t="str">
        <f t="shared" si="59"/>
        <v/>
      </c>
    </row>
    <row r="173" spans="2:19" hidden="1" x14ac:dyDescent="0.2">
      <c r="B173" s="731" t="s">
        <v>168</v>
      </c>
      <c r="C173" s="596"/>
      <c r="D173" s="417" t="s">
        <v>214</v>
      </c>
      <c r="E173" s="704"/>
      <c r="F173" s="671">
        <v>10</v>
      </c>
      <c r="G173" s="665">
        <v>1.85</v>
      </c>
      <c r="H173" s="663">
        <f t="shared" ref="H173" si="63">IF(F173&lt;=30,(1.05*F173+2.18)*G173,((1.05*30+2.18)+0.87*(F173-30))*G173)</f>
        <v>23.458000000000002</v>
      </c>
      <c r="I173" s="380">
        <v>0</v>
      </c>
      <c r="J173" s="631"/>
      <c r="K173" s="593">
        <f t="shared" si="40"/>
        <v>0</v>
      </c>
      <c r="L173" s="594" t="s">
        <v>755</v>
      </c>
      <c r="M173" s="418"/>
      <c r="N173" s="419">
        <v>0</v>
      </c>
      <c r="O173" s="287">
        <f t="shared" si="41"/>
        <v>0</v>
      </c>
      <c r="P173" s="287">
        <f t="shared" si="42"/>
        <v>0</v>
      </c>
      <c r="Q173" s="288"/>
      <c r="R173" s="311" t="str">
        <f>IF(P172&gt;0,"xy","")</f>
        <v/>
      </c>
      <c r="S173" s="378" t="str">
        <f t="shared" si="59"/>
        <v/>
      </c>
    </row>
    <row r="174" spans="2:19" hidden="1" x14ac:dyDescent="0.2">
      <c r="B174" s="731" t="s">
        <v>168</v>
      </c>
      <c r="C174" s="596"/>
      <c r="D174" s="417" t="s">
        <v>215</v>
      </c>
      <c r="E174" s="704"/>
      <c r="F174" s="671">
        <v>5</v>
      </c>
      <c r="G174" s="665">
        <v>1.762</v>
      </c>
      <c r="H174" s="663">
        <f>IF(F174&lt;=30,(1.05*F174+4.37)*G174,((1.05*30+4.37)+0.87*(F174-30))*G174)</f>
        <v>16.95044</v>
      </c>
      <c r="I174" s="380">
        <v>0</v>
      </c>
      <c r="J174" s="631"/>
      <c r="K174" s="593">
        <f t="shared" si="40"/>
        <v>0</v>
      </c>
      <c r="L174" s="594" t="s">
        <v>755</v>
      </c>
      <c r="M174" s="418"/>
      <c r="N174" s="419">
        <v>0</v>
      </c>
      <c r="O174" s="287">
        <f t="shared" si="41"/>
        <v>0</v>
      </c>
      <c r="P174" s="287">
        <f t="shared" si="42"/>
        <v>0</v>
      </c>
      <c r="Q174" s="288"/>
      <c r="R174" s="311" t="str">
        <f>IF(P172&gt;0,"xy","")</f>
        <v/>
      </c>
      <c r="S174" s="378" t="str">
        <f t="shared" si="59"/>
        <v/>
      </c>
    </row>
    <row r="175" spans="2:19" hidden="1" x14ac:dyDescent="0.2">
      <c r="B175" s="731">
        <v>546100</v>
      </c>
      <c r="C175" s="596" t="s">
        <v>207</v>
      </c>
      <c r="D175" s="383" t="s">
        <v>467</v>
      </c>
      <c r="E175" s="704"/>
      <c r="F175" s="671"/>
      <c r="G175" s="665"/>
      <c r="H175" s="664">
        <f>SUM(H176:H178)</f>
        <v>73.864850000000004</v>
      </c>
      <c r="I175" s="380">
        <v>80.989999999999995</v>
      </c>
      <c r="J175" s="631">
        <f t="shared" si="53"/>
        <v>154.85485</v>
      </c>
      <c r="K175" s="593">
        <f t="shared" si="40"/>
        <v>196.28</v>
      </c>
      <c r="L175" s="594" t="s">
        <v>16</v>
      </c>
      <c r="M175" s="30"/>
      <c r="N175" s="30">
        <v>196.28</v>
      </c>
      <c r="O175" s="287">
        <f t="shared" si="41"/>
        <v>0</v>
      </c>
      <c r="P175" s="287">
        <f t="shared" si="42"/>
        <v>0</v>
      </c>
      <c r="Q175" s="288"/>
      <c r="R175" s="311" t="str">
        <f>IF(P172&gt;0,"xy","")</f>
        <v/>
      </c>
      <c r="S175" s="378" t="str">
        <f t="shared" si="59"/>
        <v/>
      </c>
    </row>
    <row r="176" spans="2:19" hidden="1" x14ac:dyDescent="0.2">
      <c r="B176" s="731" t="s">
        <v>168</v>
      </c>
      <c r="C176" s="596"/>
      <c r="D176" s="417" t="s">
        <v>213</v>
      </c>
      <c r="E176" s="704"/>
      <c r="F176" s="661">
        <v>500</v>
      </c>
      <c r="G176" s="665">
        <v>0.105</v>
      </c>
      <c r="H176" s="664">
        <f>IF(F176&lt;=30,(0.75*F176+6.29)*G176,((0.75*30+6.29)+0.62*(F176-30))*G176)</f>
        <v>33.619949999999996</v>
      </c>
      <c r="I176" s="380">
        <v>0</v>
      </c>
      <c r="J176" s="631"/>
      <c r="K176" s="593">
        <f t="shared" si="40"/>
        <v>0</v>
      </c>
      <c r="L176" s="594" t="s">
        <v>755</v>
      </c>
      <c r="M176" s="418"/>
      <c r="N176" s="419">
        <v>0</v>
      </c>
      <c r="O176" s="287">
        <f t="shared" si="41"/>
        <v>0</v>
      </c>
      <c r="P176" s="287">
        <f t="shared" si="42"/>
        <v>0</v>
      </c>
      <c r="Q176" s="288"/>
      <c r="R176" s="311" t="str">
        <f>IF(P175&gt;0,"xy","")</f>
        <v/>
      </c>
      <c r="S176" s="378" t="str">
        <f t="shared" si="59"/>
        <v/>
      </c>
    </row>
    <row r="177" spans="2:19" hidden="1" x14ac:dyDescent="0.2">
      <c r="B177" s="731" t="s">
        <v>168</v>
      </c>
      <c r="C177" s="596"/>
      <c r="D177" s="417" t="s">
        <v>214</v>
      </c>
      <c r="E177" s="704"/>
      <c r="F177" s="671">
        <v>10</v>
      </c>
      <c r="G177" s="665">
        <v>1.85</v>
      </c>
      <c r="H177" s="663">
        <f t="shared" ref="H177" si="64">IF(F177&lt;=30,(1.05*F177+2.18)*G177,((1.05*30+2.18)+0.87*(F177-30))*G177)</f>
        <v>23.458000000000002</v>
      </c>
      <c r="I177" s="380">
        <v>0</v>
      </c>
      <c r="J177" s="631"/>
      <c r="K177" s="593">
        <f t="shared" si="40"/>
        <v>0</v>
      </c>
      <c r="L177" s="594" t="s">
        <v>755</v>
      </c>
      <c r="M177" s="418"/>
      <c r="N177" s="419">
        <v>0</v>
      </c>
      <c r="O177" s="287">
        <f t="shared" si="41"/>
        <v>0</v>
      </c>
      <c r="P177" s="287">
        <f t="shared" si="42"/>
        <v>0</v>
      </c>
      <c r="Q177" s="288"/>
      <c r="R177" s="311" t="str">
        <f>IF(P175&gt;0,"xy","")</f>
        <v/>
      </c>
      <c r="S177" s="378" t="str">
        <f t="shared" si="59"/>
        <v/>
      </c>
    </row>
    <row r="178" spans="2:19" hidden="1" x14ac:dyDescent="0.2">
      <c r="B178" s="731" t="s">
        <v>168</v>
      </c>
      <c r="C178" s="596"/>
      <c r="D178" s="417" t="s">
        <v>215</v>
      </c>
      <c r="E178" s="704"/>
      <c r="F178" s="671">
        <v>5</v>
      </c>
      <c r="G178" s="665">
        <v>1.7450000000000001</v>
      </c>
      <c r="H178" s="663">
        <f>IF(F178&lt;=30,(1.05*F178+4.37)*G178,((1.05*30+4.37)+0.87*(F178-30))*G178)</f>
        <v>16.786900000000003</v>
      </c>
      <c r="I178" s="380">
        <v>0</v>
      </c>
      <c r="J178" s="631"/>
      <c r="K178" s="593">
        <f t="shared" si="40"/>
        <v>0</v>
      </c>
      <c r="L178" s="594" t="s">
        <v>755</v>
      </c>
      <c r="M178" s="418"/>
      <c r="N178" s="419">
        <v>0</v>
      </c>
      <c r="O178" s="287">
        <f t="shared" si="41"/>
        <v>0</v>
      </c>
      <c r="P178" s="287">
        <f t="shared" si="42"/>
        <v>0</v>
      </c>
      <c r="Q178" s="288"/>
      <c r="R178" s="311" t="str">
        <f>IF(P175&gt;0,"xy","")</f>
        <v/>
      </c>
      <c r="S178" s="378" t="str">
        <f t="shared" si="59"/>
        <v/>
      </c>
    </row>
    <row r="179" spans="2:19" hidden="1" x14ac:dyDescent="0.2">
      <c r="B179" s="731">
        <v>547100</v>
      </c>
      <c r="C179" s="596" t="s">
        <v>207</v>
      </c>
      <c r="D179" s="383" t="s">
        <v>1940</v>
      </c>
      <c r="E179" s="704"/>
      <c r="F179" s="671"/>
      <c r="G179" s="665"/>
      <c r="H179" s="664">
        <f>SUM(H180:H182)</f>
        <v>78.82435000000001</v>
      </c>
      <c r="I179" s="380">
        <v>88.9</v>
      </c>
      <c r="J179" s="631">
        <f t="shared" si="53"/>
        <v>167.72435000000002</v>
      </c>
      <c r="K179" s="593">
        <f t="shared" si="40"/>
        <v>212.59</v>
      </c>
      <c r="L179" s="594" t="s">
        <v>16</v>
      </c>
      <c r="M179" s="30"/>
      <c r="N179" s="30">
        <v>212.59</v>
      </c>
      <c r="O179" s="287">
        <f t="shared" si="41"/>
        <v>0</v>
      </c>
      <c r="P179" s="287">
        <f t="shared" si="42"/>
        <v>0</v>
      </c>
      <c r="Q179" s="288"/>
      <c r="R179" s="243"/>
      <c r="S179" s="378" t="str">
        <f t="shared" si="59"/>
        <v/>
      </c>
    </row>
    <row r="180" spans="2:19" hidden="1" x14ac:dyDescent="0.2">
      <c r="B180" s="731" t="s">
        <v>168</v>
      </c>
      <c r="C180" s="596"/>
      <c r="D180" s="417" t="s">
        <v>213</v>
      </c>
      <c r="E180" s="704"/>
      <c r="F180" s="661">
        <v>500</v>
      </c>
      <c r="G180" s="665">
        <v>0.121</v>
      </c>
      <c r="H180" s="664">
        <f>IF(F180&lt;=30,(0.75*F180+6.29)*G180,((0.75*30+6.29)+0.62*(F180-30))*G180)</f>
        <v>38.742989999999999</v>
      </c>
      <c r="I180" s="380">
        <v>0</v>
      </c>
      <c r="J180" s="631"/>
      <c r="K180" s="593">
        <f t="shared" si="40"/>
        <v>0</v>
      </c>
      <c r="L180" s="594" t="s">
        <v>755</v>
      </c>
      <c r="M180" s="418"/>
      <c r="N180" s="419">
        <v>0</v>
      </c>
      <c r="O180" s="287">
        <f t="shared" si="41"/>
        <v>0</v>
      </c>
      <c r="P180" s="287">
        <f t="shared" si="42"/>
        <v>0</v>
      </c>
      <c r="Q180" s="288"/>
      <c r="R180" s="311" t="str">
        <f>IF(P179&gt;0,"xy","")</f>
        <v/>
      </c>
      <c r="S180" s="378" t="str">
        <f t="shared" si="59"/>
        <v/>
      </c>
    </row>
    <row r="181" spans="2:19" hidden="1" x14ac:dyDescent="0.2">
      <c r="B181" s="731" t="s">
        <v>168</v>
      </c>
      <c r="C181" s="596"/>
      <c r="D181" s="417" t="s">
        <v>214</v>
      </c>
      <c r="E181" s="704"/>
      <c r="F181" s="671">
        <v>10</v>
      </c>
      <c r="G181" s="665">
        <v>1.85</v>
      </c>
      <c r="H181" s="663">
        <f t="shared" ref="H181:H187" si="65">IF(F181&lt;=30,(1.05*F181+2.18)*G181,((1.05*30+2.18)+0.87*(F181-30))*G181)</f>
        <v>23.458000000000002</v>
      </c>
      <c r="I181" s="380">
        <v>0</v>
      </c>
      <c r="J181" s="631"/>
      <c r="K181" s="593">
        <f t="shared" si="40"/>
        <v>0</v>
      </c>
      <c r="L181" s="594" t="s">
        <v>755</v>
      </c>
      <c r="M181" s="418"/>
      <c r="N181" s="419">
        <v>0</v>
      </c>
      <c r="O181" s="287">
        <f t="shared" si="41"/>
        <v>0</v>
      </c>
      <c r="P181" s="287">
        <f t="shared" si="42"/>
        <v>0</v>
      </c>
      <c r="Q181" s="288"/>
      <c r="R181" s="311" t="str">
        <f>IF(P179&gt;0,"xy","")</f>
        <v/>
      </c>
      <c r="S181" s="378" t="str">
        <f t="shared" si="59"/>
        <v/>
      </c>
    </row>
    <row r="182" spans="2:19" hidden="1" x14ac:dyDescent="0.2">
      <c r="B182" s="731" t="s">
        <v>168</v>
      </c>
      <c r="C182" s="596"/>
      <c r="D182" s="417" t="s">
        <v>215</v>
      </c>
      <c r="E182" s="704"/>
      <c r="F182" s="671">
        <v>5</v>
      </c>
      <c r="G182" s="665">
        <v>1.728</v>
      </c>
      <c r="H182" s="663">
        <f>IF(F182&lt;=30,(1.05*F182+4.37)*G182,((1.05*30+4.37)+0.87*(F182-30))*G182)</f>
        <v>16.623360000000002</v>
      </c>
      <c r="I182" s="380">
        <v>0</v>
      </c>
      <c r="J182" s="631"/>
      <c r="K182" s="593">
        <f t="shared" si="40"/>
        <v>0</v>
      </c>
      <c r="L182" s="594" t="s">
        <v>755</v>
      </c>
      <c r="M182" s="418"/>
      <c r="N182" s="419">
        <v>0</v>
      </c>
      <c r="O182" s="287">
        <f t="shared" si="41"/>
        <v>0</v>
      </c>
      <c r="P182" s="287">
        <f t="shared" si="42"/>
        <v>0</v>
      </c>
      <c r="Q182" s="288"/>
      <c r="R182" s="311" t="str">
        <f>IF(P179&gt;0,"xy","")</f>
        <v/>
      </c>
      <c r="S182" s="378" t="str">
        <f t="shared" si="59"/>
        <v/>
      </c>
    </row>
    <row r="183" spans="2:19" hidden="1" x14ac:dyDescent="0.2">
      <c r="B183" s="730" t="s">
        <v>1941</v>
      </c>
      <c r="C183" s="596" t="s">
        <v>207</v>
      </c>
      <c r="D183" s="383" t="s">
        <v>216</v>
      </c>
      <c r="E183" s="704"/>
      <c r="F183" s="671">
        <v>20</v>
      </c>
      <c r="G183" s="701">
        <v>2.2000000000000002</v>
      </c>
      <c r="H183" s="663">
        <f t="shared" si="65"/>
        <v>50.996000000000002</v>
      </c>
      <c r="I183" s="380">
        <v>82.33</v>
      </c>
      <c r="J183" s="631">
        <f>IF(ISBLANK(I183),"",SUM(H183:I183))</f>
        <v>133.32599999999999</v>
      </c>
      <c r="K183" s="593">
        <f t="shared" si="40"/>
        <v>168.99</v>
      </c>
      <c r="L183" s="594" t="s">
        <v>16</v>
      </c>
      <c r="M183" s="30"/>
      <c r="N183" s="30">
        <v>168.99</v>
      </c>
      <c r="O183" s="287">
        <f t="shared" si="41"/>
        <v>0</v>
      </c>
      <c r="P183" s="287">
        <f t="shared" si="42"/>
        <v>0</v>
      </c>
      <c r="Q183" s="288"/>
      <c r="R183" s="243"/>
      <c r="S183" s="378" t="str">
        <f t="shared" si="59"/>
        <v/>
      </c>
    </row>
    <row r="184" spans="2:19" hidden="1" x14ac:dyDescent="0.2">
      <c r="B184" s="731" t="s">
        <v>1761</v>
      </c>
      <c r="C184" s="596" t="s">
        <v>498</v>
      </c>
      <c r="D184" s="383" t="s">
        <v>775</v>
      </c>
      <c r="E184" s="704"/>
      <c r="F184" s="671">
        <v>10</v>
      </c>
      <c r="G184" s="701">
        <v>1.95</v>
      </c>
      <c r="H184" s="663">
        <f t="shared" si="65"/>
        <v>24.725999999999999</v>
      </c>
      <c r="I184" s="380">
        <v>72.11</v>
      </c>
      <c r="J184" s="631">
        <f>IF(ISBLANK(I184),"",SUM(H184:I184))</f>
        <v>96.835999999999999</v>
      </c>
      <c r="K184" s="593">
        <f t="shared" si="40"/>
        <v>122.74</v>
      </c>
      <c r="L184" s="594" t="s">
        <v>16</v>
      </c>
      <c r="M184" s="30"/>
      <c r="N184" s="30">
        <v>122.74</v>
      </c>
      <c r="O184" s="287">
        <f t="shared" si="41"/>
        <v>0</v>
      </c>
      <c r="P184" s="287">
        <f t="shared" si="42"/>
        <v>0</v>
      </c>
      <c r="Q184" s="288"/>
      <c r="R184" s="243"/>
      <c r="S184" s="378" t="str">
        <f t="shared" si="59"/>
        <v/>
      </c>
    </row>
    <row r="185" spans="2:19" hidden="1" x14ac:dyDescent="0.2">
      <c r="B185" s="731" t="s">
        <v>1762</v>
      </c>
      <c r="C185" s="596" t="s">
        <v>498</v>
      </c>
      <c r="D185" s="383" t="s">
        <v>776</v>
      </c>
      <c r="E185" s="704"/>
      <c r="F185" s="671">
        <v>11</v>
      </c>
      <c r="G185" s="701">
        <v>2.1</v>
      </c>
      <c r="H185" s="663">
        <f t="shared" si="65"/>
        <v>28.833000000000002</v>
      </c>
      <c r="I185" s="380">
        <v>88.65</v>
      </c>
      <c r="J185" s="631">
        <f>IF(ISBLANK(I185),"",SUM(H185:I185))</f>
        <v>117.483</v>
      </c>
      <c r="K185" s="593">
        <f t="shared" si="40"/>
        <v>148.91</v>
      </c>
      <c r="L185" s="594" t="s">
        <v>16</v>
      </c>
      <c r="M185" s="30"/>
      <c r="N185" s="30">
        <v>148.91</v>
      </c>
      <c r="O185" s="287">
        <f t="shared" si="41"/>
        <v>0</v>
      </c>
      <c r="P185" s="287">
        <f t="shared" si="42"/>
        <v>0</v>
      </c>
      <c r="Q185" s="288"/>
      <c r="R185" s="243"/>
      <c r="S185" s="378" t="str">
        <f t="shared" si="59"/>
        <v/>
      </c>
    </row>
    <row r="186" spans="2:19" hidden="1" x14ac:dyDescent="0.2">
      <c r="B186" s="730" t="s">
        <v>1942</v>
      </c>
      <c r="C186" s="596" t="s">
        <v>207</v>
      </c>
      <c r="D186" s="383" t="s">
        <v>497</v>
      </c>
      <c r="E186" s="704"/>
      <c r="F186" s="671">
        <v>20</v>
      </c>
      <c r="G186" s="701">
        <v>2.2000000000000002</v>
      </c>
      <c r="H186" s="663">
        <f t="shared" si="65"/>
        <v>50.996000000000002</v>
      </c>
      <c r="I186" s="380">
        <v>82.33</v>
      </c>
      <c r="J186" s="631">
        <f>IF(ISBLANK(I186),"",SUM(H186:I186))</f>
        <v>133.32599999999999</v>
      </c>
      <c r="K186" s="593">
        <f t="shared" si="40"/>
        <v>168.99</v>
      </c>
      <c r="L186" s="594" t="s">
        <v>16</v>
      </c>
      <c r="M186" s="30"/>
      <c r="N186" s="30">
        <v>168.99</v>
      </c>
      <c r="O186" s="287">
        <f t="shared" si="41"/>
        <v>0</v>
      </c>
      <c r="P186" s="287">
        <f t="shared" si="42"/>
        <v>0</v>
      </c>
      <c r="Q186" s="288"/>
      <c r="R186" s="243"/>
      <c r="S186" s="378" t="str">
        <f t="shared" si="59"/>
        <v/>
      </c>
    </row>
    <row r="187" spans="2:19" x14ac:dyDescent="0.2">
      <c r="B187" s="731">
        <v>516200</v>
      </c>
      <c r="C187" s="596" t="s">
        <v>207</v>
      </c>
      <c r="D187" s="383" t="s">
        <v>229</v>
      </c>
      <c r="E187" s="704"/>
      <c r="F187" s="671">
        <v>19.100000000000001</v>
      </c>
      <c r="G187" s="701">
        <v>1.95</v>
      </c>
      <c r="H187" s="663">
        <f t="shared" si="65"/>
        <v>43.358250000000005</v>
      </c>
      <c r="I187" s="380">
        <v>82.59</v>
      </c>
      <c r="J187" s="631">
        <f>IF(ISBLANK(I187),"",SUM(H187:I187))*0.85</f>
        <v>107.05601249999999</v>
      </c>
      <c r="K187" s="593">
        <f t="shared" si="40"/>
        <v>135.69</v>
      </c>
      <c r="L187" s="594" t="s">
        <v>16</v>
      </c>
      <c r="M187" s="30">
        <v>287.04000000000002</v>
      </c>
      <c r="N187" s="30">
        <v>135.69</v>
      </c>
      <c r="O187" s="287">
        <f t="shared" si="41"/>
        <v>38948.46</v>
      </c>
      <c r="P187" s="287">
        <f t="shared" si="42"/>
        <v>38948.46</v>
      </c>
      <c r="Q187" s="288"/>
      <c r="R187" s="243"/>
      <c r="S187" s="378" t="str">
        <f t="shared" si="59"/>
        <v>x</v>
      </c>
    </row>
    <row r="188" spans="2:19" ht="13.5" thickBot="1" x14ac:dyDescent="0.25">
      <c r="B188" s="730" t="s">
        <v>1943</v>
      </c>
      <c r="C188" s="596" t="s">
        <v>207</v>
      </c>
      <c r="D188" s="383" t="s">
        <v>217</v>
      </c>
      <c r="E188" s="704"/>
      <c r="F188" s="671">
        <v>19.100000000000001</v>
      </c>
      <c r="G188" s="665">
        <v>2.4</v>
      </c>
      <c r="H188" s="663">
        <f>IF(F188&lt;=30,(1.05*F188+4.37)*G188,((1.05*30+4.37)+0.87*(F188-30))*G188)</f>
        <v>58.620000000000005</v>
      </c>
      <c r="I188" s="380">
        <v>110.9</v>
      </c>
      <c r="J188" s="631">
        <f>IF(ISBLANK(I188),"",SUM(H188:I188))</f>
        <v>169.52</v>
      </c>
      <c r="K188" s="593">
        <f t="shared" ref="K188:K199" si="66">IF(ISBLANK(I188),0,ROUND(J188*(1+$F$10)*(1+$F$11*E188),2))</f>
        <v>214.87</v>
      </c>
      <c r="L188" s="594" t="s">
        <v>16</v>
      </c>
      <c r="M188" s="30">
        <v>243.05</v>
      </c>
      <c r="N188" s="30">
        <v>214.87</v>
      </c>
      <c r="O188" s="287">
        <f t="shared" ref="O188:O280" si="67">IF(ISBLANK(M188),0,ROUND(K188*M188,2))</f>
        <v>52224.15</v>
      </c>
      <c r="P188" s="287">
        <f t="shared" ref="P188:P280" si="68">IF(ISBLANK(N188),0,ROUND(M188*N188,2))</f>
        <v>52224.15</v>
      </c>
      <c r="Q188" s="288"/>
      <c r="R188" s="243"/>
      <c r="S188" s="378" t="str">
        <f t="shared" si="59"/>
        <v>x</v>
      </c>
    </row>
    <row r="189" spans="2:19" hidden="1" x14ac:dyDescent="0.2">
      <c r="B189" s="731">
        <v>531120</v>
      </c>
      <c r="C189" s="596" t="s">
        <v>207</v>
      </c>
      <c r="D189" s="383" t="s">
        <v>223</v>
      </c>
      <c r="E189" s="704"/>
      <c r="F189" s="671"/>
      <c r="G189" s="665"/>
      <c r="H189" s="664">
        <f>SUM(H190:H192)</f>
        <v>81.71808</v>
      </c>
      <c r="I189" s="380">
        <v>161.37</v>
      </c>
      <c r="J189" s="631">
        <f>IF(ISBLANK(I189),"",SUM(H189:I189))*0.9</f>
        <v>218.77927199999999</v>
      </c>
      <c r="K189" s="593">
        <f t="shared" si="66"/>
        <v>277.3</v>
      </c>
      <c r="L189" s="594" t="s">
        <v>16</v>
      </c>
      <c r="M189" s="30"/>
      <c r="N189" s="30">
        <v>277.3</v>
      </c>
      <c r="O189" s="287">
        <f t="shared" si="67"/>
        <v>0</v>
      </c>
      <c r="P189" s="287">
        <f t="shared" si="68"/>
        <v>0</v>
      </c>
      <c r="Q189" s="288"/>
      <c r="R189" s="243"/>
      <c r="S189" s="378" t="str">
        <f t="shared" si="59"/>
        <v/>
      </c>
    </row>
    <row r="190" spans="2:19" hidden="1" x14ac:dyDescent="0.2">
      <c r="B190" s="731" t="s">
        <v>168</v>
      </c>
      <c r="C190" s="596"/>
      <c r="D190" s="417" t="s">
        <v>213</v>
      </c>
      <c r="E190" s="704"/>
      <c r="F190" s="661">
        <v>500</v>
      </c>
      <c r="G190" s="665">
        <v>9.6000000000000002E-2</v>
      </c>
      <c r="H190" s="664">
        <f>IF(F190&lt;=30,(0.51*F190+4.28)*G190,((0.51*30+4.28)+0.42*(F190-30))*G190)</f>
        <v>20.830080000000002</v>
      </c>
      <c r="I190" s="380">
        <v>0</v>
      </c>
      <c r="J190" s="631"/>
      <c r="K190" s="593">
        <f t="shared" si="66"/>
        <v>0</v>
      </c>
      <c r="L190" s="594" t="s">
        <v>755</v>
      </c>
      <c r="M190" s="418"/>
      <c r="N190" s="419">
        <v>0</v>
      </c>
      <c r="O190" s="287">
        <f t="shared" si="67"/>
        <v>0</v>
      </c>
      <c r="P190" s="287">
        <f t="shared" si="68"/>
        <v>0</v>
      </c>
      <c r="Q190" s="288"/>
      <c r="R190" s="311" t="str">
        <f>IF(P189&gt;0,"xy","")</f>
        <v/>
      </c>
      <c r="S190" s="378" t="str">
        <f t="shared" si="59"/>
        <v/>
      </c>
    </row>
    <row r="191" spans="2:19" hidden="1" x14ac:dyDescent="0.2">
      <c r="B191" s="731" t="s">
        <v>168</v>
      </c>
      <c r="C191" s="596"/>
      <c r="D191" s="417" t="s">
        <v>224</v>
      </c>
      <c r="E191" s="704"/>
      <c r="F191" s="671"/>
      <c r="G191" s="665">
        <v>2.4</v>
      </c>
      <c r="H191" s="664">
        <f>IF(F191=0,0,IF(F191&lt;=30,(1.05*F191+2.18)*G191,((1.05*30+2.18)+0.87*(F191-30))*G191))</f>
        <v>0</v>
      </c>
      <c r="I191" s="380">
        <v>0</v>
      </c>
      <c r="J191" s="631">
        <f t="shared" ref="J191" si="69">IF(ISBLANK(I191),"",SUM(H191:I191))</f>
        <v>0</v>
      </c>
      <c r="K191" s="593">
        <f t="shared" si="66"/>
        <v>0</v>
      </c>
      <c r="L191" s="594" t="s">
        <v>755</v>
      </c>
      <c r="M191" s="418">
        <v>0</v>
      </c>
      <c r="N191" s="419">
        <v>0</v>
      </c>
      <c r="O191" s="287">
        <f t="shared" si="67"/>
        <v>0</v>
      </c>
      <c r="P191" s="287">
        <f t="shared" si="68"/>
        <v>0</v>
      </c>
      <c r="Q191" s="288"/>
      <c r="R191" s="311" t="str">
        <f>IF(P189&gt;0,"xy","")</f>
        <v/>
      </c>
      <c r="S191" s="378" t="str">
        <f t="shared" si="59"/>
        <v/>
      </c>
    </row>
    <row r="192" spans="2:19" hidden="1" x14ac:dyDescent="0.2">
      <c r="B192" s="731" t="s">
        <v>168</v>
      </c>
      <c r="C192" s="596"/>
      <c r="D192" s="417" t="s">
        <v>225</v>
      </c>
      <c r="E192" s="704"/>
      <c r="F192" s="671">
        <v>20</v>
      </c>
      <c r="G192" s="665">
        <v>2.4</v>
      </c>
      <c r="H192" s="663">
        <f>IF(F192&lt;=30,(1.05*F192+4.37)*G192,((1.05*30+4.37)+0.87*(F192-30))*G192)</f>
        <v>60.887999999999998</v>
      </c>
      <c r="I192" s="380">
        <v>0</v>
      </c>
      <c r="J192" s="631"/>
      <c r="K192" s="593">
        <f t="shared" si="66"/>
        <v>0</v>
      </c>
      <c r="L192" s="594" t="s">
        <v>755</v>
      </c>
      <c r="M192" s="418"/>
      <c r="N192" s="419">
        <v>0</v>
      </c>
      <c r="O192" s="287">
        <f t="shared" si="67"/>
        <v>0</v>
      </c>
      <c r="P192" s="287">
        <f t="shared" si="68"/>
        <v>0</v>
      </c>
      <c r="Q192" s="288"/>
      <c r="R192" s="311" t="str">
        <f>IF(P189&gt;0,"xy","")</f>
        <v/>
      </c>
      <c r="S192" s="378" t="str">
        <f t="shared" si="59"/>
        <v/>
      </c>
    </row>
    <row r="193" spans="2:19" hidden="1" x14ac:dyDescent="0.2">
      <c r="B193" s="731">
        <v>531350</v>
      </c>
      <c r="C193" s="596" t="s">
        <v>207</v>
      </c>
      <c r="D193" s="383" t="s">
        <v>218</v>
      </c>
      <c r="E193" s="704"/>
      <c r="F193" s="671"/>
      <c r="G193" s="701"/>
      <c r="H193" s="729">
        <f>SUM(H194:H195)</f>
        <v>47.055400000000006</v>
      </c>
      <c r="I193" s="380">
        <v>87.5</v>
      </c>
      <c r="J193" s="631">
        <f>IF(ISBLANK(I193),"",SUM(H193:I193))</f>
        <v>134.55540000000002</v>
      </c>
      <c r="K193" s="593">
        <f t="shared" si="66"/>
        <v>170.55</v>
      </c>
      <c r="L193" s="594" t="s">
        <v>16</v>
      </c>
      <c r="M193" s="30"/>
      <c r="N193" s="30">
        <v>170.55</v>
      </c>
      <c r="O193" s="287">
        <f t="shared" si="67"/>
        <v>0</v>
      </c>
      <c r="P193" s="287">
        <f t="shared" si="68"/>
        <v>0</v>
      </c>
      <c r="Q193" s="288"/>
      <c r="R193" s="243"/>
      <c r="S193" s="378" t="str">
        <f t="shared" si="59"/>
        <v/>
      </c>
    </row>
    <row r="194" spans="2:19" hidden="1" x14ac:dyDescent="0.2">
      <c r="B194" s="731" t="s">
        <v>168</v>
      </c>
      <c r="C194" s="596"/>
      <c r="D194" s="417" t="s">
        <v>219</v>
      </c>
      <c r="E194" s="704"/>
      <c r="F194" s="671">
        <v>20</v>
      </c>
      <c r="G194" s="701">
        <v>1.35</v>
      </c>
      <c r="H194" s="663">
        <f t="shared" ref="H194:H195" si="70">IF(F194&lt;=30,(1.05*F194+2.18)*G194,((1.05*30+2.18)+0.87*(F194-30))*G194)</f>
        <v>31.293000000000003</v>
      </c>
      <c r="I194" s="380">
        <v>0</v>
      </c>
      <c r="J194" s="631"/>
      <c r="K194" s="593">
        <f t="shared" si="66"/>
        <v>0</v>
      </c>
      <c r="L194" s="594" t="s">
        <v>755</v>
      </c>
      <c r="M194" s="418">
        <v>0</v>
      </c>
      <c r="N194" s="419">
        <v>0</v>
      </c>
      <c r="O194" s="287">
        <f t="shared" si="67"/>
        <v>0</v>
      </c>
      <c r="P194" s="287">
        <f t="shared" si="68"/>
        <v>0</v>
      </c>
      <c r="Q194" s="288"/>
      <c r="R194" s="311" t="str">
        <f>IF(P193&gt;0,"xy","")</f>
        <v/>
      </c>
      <c r="S194" s="378" t="str">
        <f t="shared" si="59"/>
        <v/>
      </c>
    </row>
    <row r="195" spans="2:19" hidden="1" x14ac:dyDescent="0.2">
      <c r="B195" s="731" t="s">
        <v>168</v>
      </c>
      <c r="C195" s="596"/>
      <c r="D195" s="417" t="s">
        <v>220</v>
      </c>
      <c r="E195" s="704"/>
      <c r="F195" s="671">
        <v>20</v>
      </c>
      <c r="G195" s="701">
        <v>0.68</v>
      </c>
      <c r="H195" s="663">
        <f t="shared" si="70"/>
        <v>15.762400000000001</v>
      </c>
      <c r="I195" s="380">
        <v>0</v>
      </c>
      <c r="J195" s="631"/>
      <c r="K195" s="593">
        <f t="shared" si="66"/>
        <v>0</v>
      </c>
      <c r="L195" s="594" t="s">
        <v>755</v>
      </c>
      <c r="M195" s="418">
        <v>0</v>
      </c>
      <c r="N195" s="419">
        <v>0</v>
      </c>
      <c r="O195" s="287">
        <f t="shared" si="67"/>
        <v>0</v>
      </c>
      <c r="P195" s="287">
        <f t="shared" si="68"/>
        <v>0</v>
      </c>
      <c r="Q195" s="288"/>
      <c r="R195" s="311" t="str">
        <f>IF(P193&gt;0,"xy","")</f>
        <v/>
      </c>
      <c r="S195" s="378" t="str">
        <f t="shared" si="59"/>
        <v/>
      </c>
    </row>
    <row r="196" spans="2:19" hidden="1" x14ac:dyDescent="0.2">
      <c r="B196" s="731">
        <v>531300</v>
      </c>
      <c r="C196" s="596" t="s">
        <v>207</v>
      </c>
      <c r="D196" s="383" t="s">
        <v>221</v>
      </c>
      <c r="E196" s="704"/>
      <c r="F196" s="671"/>
      <c r="G196" s="701"/>
      <c r="H196" s="729">
        <f>SUM(H197:H198)</f>
        <v>47.055400000000006</v>
      </c>
      <c r="I196" s="380">
        <v>90.300000000000011</v>
      </c>
      <c r="J196" s="631">
        <f>IF(ISBLANK(I196),"",SUM(H196:I196))</f>
        <v>137.35540000000003</v>
      </c>
      <c r="K196" s="593">
        <f t="shared" si="66"/>
        <v>174.1</v>
      </c>
      <c r="L196" s="594" t="s">
        <v>16</v>
      </c>
      <c r="M196" s="30"/>
      <c r="N196" s="30">
        <v>174.1</v>
      </c>
      <c r="O196" s="287">
        <f t="shared" si="67"/>
        <v>0</v>
      </c>
      <c r="P196" s="287">
        <f t="shared" si="68"/>
        <v>0</v>
      </c>
      <c r="Q196" s="288"/>
      <c r="R196" s="243"/>
      <c r="S196" s="378" t="str">
        <f t="shared" si="59"/>
        <v/>
      </c>
    </row>
    <row r="197" spans="2:19" hidden="1" x14ac:dyDescent="0.2">
      <c r="B197" s="731" t="s">
        <v>168</v>
      </c>
      <c r="C197" s="596"/>
      <c r="D197" s="417" t="s">
        <v>219</v>
      </c>
      <c r="E197" s="704"/>
      <c r="F197" s="671">
        <v>20</v>
      </c>
      <c r="G197" s="701">
        <v>1.35</v>
      </c>
      <c r="H197" s="663">
        <f t="shared" ref="H197:H199" si="71">IF(F197&lt;=30,(1.05*F197+2.18)*G197,((1.05*30+2.18)+0.87*(F197-30))*G197)</f>
        <v>31.293000000000003</v>
      </c>
      <c r="I197" s="380">
        <v>0</v>
      </c>
      <c r="J197" s="631"/>
      <c r="K197" s="593">
        <f t="shared" si="66"/>
        <v>0</v>
      </c>
      <c r="L197" s="594" t="s">
        <v>755</v>
      </c>
      <c r="M197" s="418">
        <v>0</v>
      </c>
      <c r="N197" s="419">
        <v>0</v>
      </c>
      <c r="O197" s="287">
        <f t="shared" si="67"/>
        <v>0</v>
      </c>
      <c r="P197" s="287">
        <f t="shared" si="68"/>
        <v>0</v>
      </c>
      <c r="Q197" s="288"/>
      <c r="R197" s="311" t="str">
        <f>IF(P196&gt;0,"xy","")</f>
        <v/>
      </c>
      <c r="S197" s="378" t="str">
        <f t="shared" si="59"/>
        <v/>
      </c>
    </row>
    <row r="198" spans="2:19" hidden="1" x14ac:dyDescent="0.2">
      <c r="B198" s="731" t="s">
        <v>168</v>
      </c>
      <c r="C198" s="596"/>
      <c r="D198" s="417" t="s">
        <v>220</v>
      </c>
      <c r="E198" s="704"/>
      <c r="F198" s="671">
        <v>20</v>
      </c>
      <c r="G198" s="701">
        <v>0.68</v>
      </c>
      <c r="H198" s="663">
        <f t="shared" si="71"/>
        <v>15.762400000000001</v>
      </c>
      <c r="I198" s="380">
        <v>0</v>
      </c>
      <c r="J198" s="631"/>
      <c r="K198" s="593">
        <f t="shared" si="66"/>
        <v>0</v>
      </c>
      <c r="L198" s="594" t="s">
        <v>755</v>
      </c>
      <c r="M198" s="418">
        <v>0</v>
      </c>
      <c r="N198" s="419">
        <v>0</v>
      </c>
      <c r="O198" s="287">
        <f t="shared" si="67"/>
        <v>0</v>
      </c>
      <c r="P198" s="287">
        <f t="shared" si="68"/>
        <v>0</v>
      </c>
      <c r="Q198" s="288"/>
      <c r="R198" s="311" t="str">
        <f>IF(P196&gt;0,"xy","")</f>
        <v/>
      </c>
      <c r="S198" s="378" t="str">
        <f t="shared" si="59"/>
        <v/>
      </c>
    </row>
    <row r="199" spans="2:19" hidden="1" x14ac:dyDescent="0.2">
      <c r="B199" s="731">
        <v>532000</v>
      </c>
      <c r="C199" s="596"/>
      <c r="D199" s="383" t="s">
        <v>222</v>
      </c>
      <c r="E199" s="704"/>
      <c r="F199" s="661">
        <v>20</v>
      </c>
      <c r="G199" s="665">
        <v>2.2000000000000002</v>
      </c>
      <c r="H199" s="663">
        <f t="shared" si="71"/>
        <v>50.996000000000002</v>
      </c>
      <c r="I199" s="380">
        <v>101.16</v>
      </c>
      <c r="J199" s="631">
        <f>IF(ISBLANK(I199),"",SUM(H199:I199))</f>
        <v>152.15600000000001</v>
      </c>
      <c r="K199" s="593">
        <f t="shared" si="66"/>
        <v>192.86</v>
      </c>
      <c r="L199" s="594" t="s">
        <v>16</v>
      </c>
      <c r="M199" s="415"/>
      <c r="N199" s="415">
        <v>192.86</v>
      </c>
      <c r="O199" s="287">
        <f t="shared" si="67"/>
        <v>0</v>
      </c>
      <c r="P199" s="384">
        <f t="shared" si="68"/>
        <v>0</v>
      </c>
      <c r="Q199" s="288"/>
      <c r="R199" s="243"/>
      <c r="S199" s="378" t="str">
        <f t="shared" si="59"/>
        <v/>
      </c>
    </row>
    <row r="200" spans="2:19" hidden="1" x14ac:dyDescent="0.2">
      <c r="B200" s="608" t="s">
        <v>188</v>
      </c>
      <c r="C200" s="638"/>
      <c r="D200" s="639" t="s">
        <v>480</v>
      </c>
      <c r="E200" s="640"/>
      <c r="F200" s="641"/>
      <c r="G200" s="642"/>
      <c r="H200" s="632"/>
      <c r="I200" s="601"/>
      <c r="J200" s="601"/>
      <c r="K200" s="601"/>
      <c r="L200" s="643" t="s">
        <v>755</v>
      </c>
      <c r="M200" s="390"/>
      <c r="N200" s="391"/>
      <c r="O200" s="391"/>
      <c r="P200" s="392"/>
      <c r="Q200" s="288"/>
      <c r="R200" s="377" t="str">
        <f>IF(SUM(P201:P225)&gt;0,"y","")</f>
        <v/>
      </c>
      <c r="S200" s="378" t="str">
        <f t="shared" si="59"/>
        <v/>
      </c>
    </row>
    <row r="201" spans="2:19" hidden="1" x14ac:dyDescent="0.2">
      <c r="B201" s="609" t="s">
        <v>188</v>
      </c>
      <c r="C201" s="746" t="s">
        <v>188</v>
      </c>
      <c r="D201" s="393"/>
      <c r="E201" s="394"/>
      <c r="F201" s="402"/>
      <c r="G201" s="396"/>
      <c r="H201" s="395"/>
      <c r="I201" s="397"/>
      <c r="J201" s="398"/>
      <c r="K201" s="399">
        <f t="shared" ref="K201:K225" si="72">IF(ISBLANK(J201),0,ROUND(J201*(1+$F$10)*(1+$F$11*E201),2))</f>
        <v>0</v>
      </c>
      <c r="L201" s="420" t="s">
        <v>755</v>
      </c>
      <c r="M201" s="415"/>
      <c r="N201" s="415">
        <v>0</v>
      </c>
      <c r="O201" s="287">
        <f t="shared" ref="O201" si="73">IF(ISBLANK(M201),0,ROUND(K201*M201,2))</f>
        <v>0</v>
      </c>
      <c r="P201" s="384">
        <f t="shared" ref="P201:P225" si="74">IF(ISBLANK(N201),0,ROUND(M201*N201,2))</f>
        <v>0</v>
      </c>
      <c r="Q201" s="288"/>
      <c r="R201" s="243"/>
      <c r="S201" s="378" t="str">
        <f t="shared" si="59"/>
        <v/>
      </c>
    </row>
    <row r="202" spans="2:19" hidden="1" x14ac:dyDescent="0.2">
      <c r="B202" s="609" t="s">
        <v>188</v>
      </c>
      <c r="C202" s="746" t="s">
        <v>188</v>
      </c>
      <c r="D202" s="401"/>
      <c r="E202" s="394"/>
      <c r="F202" s="402"/>
      <c r="G202" s="396"/>
      <c r="H202" s="395"/>
      <c r="I202" s="397"/>
      <c r="J202" s="398"/>
      <c r="K202" s="403">
        <f t="shared" si="72"/>
        <v>0</v>
      </c>
      <c r="L202" s="420" t="s">
        <v>755</v>
      </c>
      <c r="M202" s="30"/>
      <c r="N202" s="30">
        <v>0</v>
      </c>
      <c r="O202" s="287">
        <f>IF(ISBLANK(M202),0,ROUND(K202*M202,2))</f>
        <v>0</v>
      </c>
      <c r="P202" s="287">
        <f t="shared" si="74"/>
        <v>0</v>
      </c>
      <c r="Q202" s="288"/>
      <c r="R202" s="243"/>
      <c r="S202" s="378" t="str">
        <f t="shared" si="59"/>
        <v/>
      </c>
    </row>
    <row r="203" spans="2:19" hidden="1" x14ac:dyDescent="0.2">
      <c r="B203" s="609" t="s">
        <v>188</v>
      </c>
      <c r="C203" s="746" t="s">
        <v>188</v>
      </c>
      <c r="D203" s="401"/>
      <c r="E203" s="394"/>
      <c r="F203" s="402"/>
      <c r="G203" s="396"/>
      <c r="H203" s="395"/>
      <c r="I203" s="397"/>
      <c r="J203" s="398"/>
      <c r="K203" s="403">
        <f t="shared" si="72"/>
        <v>0</v>
      </c>
      <c r="L203" s="420" t="s">
        <v>755</v>
      </c>
      <c r="M203" s="30"/>
      <c r="N203" s="30">
        <v>0</v>
      </c>
      <c r="O203" s="287">
        <f t="shared" ref="O203:O225" si="75">IF(ISBLANK(M203),0,ROUND(K203*M203,2))</f>
        <v>0</v>
      </c>
      <c r="P203" s="287">
        <f t="shared" si="74"/>
        <v>0</v>
      </c>
      <c r="Q203" s="288"/>
      <c r="R203" s="243"/>
      <c r="S203" s="378" t="str">
        <f t="shared" si="59"/>
        <v/>
      </c>
    </row>
    <row r="204" spans="2:19" hidden="1" x14ac:dyDescent="0.2">
      <c r="B204" s="609" t="s">
        <v>188</v>
      </c>
      <c r="C204" s="746" t="s">
        <v>188</v>
      </c>
      <c r="D204" s="401"/>
      <c r="E204" s="394"/>
      <c r="F204" s="402"/>
      <c r="G204" s="396"/>
      <c r="H204" s="395"/>
      <c r="I204" s="397"/>
      <c r="J204" s="398"/>
      <c r="K204" s="403">
        <f t="shared" si="72"/>
        <v>0</v>
      </c>
      <c r="L204" s="420" t="s">
        <v>755</v>
      </c>
      <c r="M204" s="30"/>
      <c r="N204" s="30">
        <v>0</v>
      </c>
      <c r="O204" s="287">
        <f t="shared" si="75"/>
        <v>0</v>
      </c>
      <c r="P204" s="287">
        <f t="shared" si="74"/>
        <v>0</v>
      </c>
      <c r="Q204" s="288"/>
      <c r="R204" s="243"/>
      <c r="S204" s="378" t="str">
        <f t="shared" si="59"/>
        <v/>
      </c>
    </row>
    <row r="205" spans="2:19" hidden="1" x14ac:dyDescent="0.2">
      <c r="B205" s="609" t="s">
        <v>188</v>
      </c>
      <c r="C205" s="746" t="s">
        <v>188</v>
      </c>
      <c r="D205" s="401"/>
      <c r="E205" s="394"/>
      <c r="F205" s="402"/>
      <c r="G205" s="396"/>
      <c r="H205" s="395"/>
      <c r="I205" s="397"/>
      <c r="J205" s="398"/>
      <c r="K205" s="403">
        <f t="shared" si="72"/>
        <v>0</v>
      </c>
      <c r="L205" s="420" t="s">
        <v>755</v>
      </c>
      <c r="M205" s="30"/>
      <c r="N205" s="30">
        <v>0</v>
      </c>
      <c r="O205" s="287">
        <f t="shared" si="75"/>
        <v>0</v>
      </c>
      <c r="P205" s="287">
        <f t="shared" si="74"/>
        <v>0</v>
      </c>
      <c r="Q205" s="288"/>
      <c r="R205" s="243"/>
      <c r="S205" s="378" t="str">
        <f t="shared" si="59"/>
        <v/>
      </c>
    </row>
    <row r="206" spans="2:19" hidden="1" x14ac:dyDescent="0.2">
      <c r="B206" s="609" t="s">
        <v>188</v>
      </c>
      <c r="C206" s="746" t="s">
        <v>188</v>
      </c>
      <c r="D206" s="401"/>
      <c r="E206" s="394"/>
      <c r="F206" s="402"/>
      <c r="G206" s="396"/>
      <c r="H206" s="395"/>
      <c r="I206" s="397"/>
      <c r="J206" s="398"/>
      <c r="K206" s="403">
        <f t="shared" si="72"/>
        <v>0</v>
      </c>
      <c r="L206" s="420" t="s">
        <v>755</v>
      </c>
      <c r="M206" s="30"/>
      <c r="N206" s="30">
        <v>0</v>
      </c>
      <c r="O206" s="287">
        <f t="shared" si="75"/>
        <v>0</v>
      </c>
      <c r="P206" s="287">
        <f t="shared" si="74"/>
        <v>0</v>
      </c>
      <c r="Q206" s="288"/>
      <c r="R206" s="243"/>
      <c r="S206" s="378" t="str">
        <f t="shared" si="59"/>
        <v/>
      </c>
    </row>
    <row r="207" spans="2:19" hidden="1" x14ac:dyDescent="0.2">
      <c r="B207" s="609" t="s">
        <v>188</v>
      </c>
      <c r="C207" s="746" t="s">
        <v>188</v>
      </c>
      <c r="D207" s="401"/>
      <c r="E207" s="394"/>
      <c r="F207" s="402"/>
      <c r="G207" s="396"/>
      <c r="H207" s="395"/>
      <c r="I207" s="397"/>
      <c r="J207" s="398"/>
      <c r="K207" s="403">
        <f t="shared" si="72"/>
        <v>0</v>
      </c>
      <c r="L207" s="420" t="s">
        <v>755</v>
      </c>
      <c r="M207" s="30"/>
      <c r="N207" s="30">
        <v>0</v>
      </c>
      <c r="O207" s="287">
        <f t="shared" si="75"/>
        <v>0</v>
      </c>
      <c r="P207" s="287">
        <f t="shared" si="74"/>
        <v>0</v>
      </c>
      <c r="Q207" s="288"/>
      <c r="R207" s="243"/>
      <c r="S207" s="378" t="str">
        <f t="shared" si="59"/>
        <v/>
      </c>
    </row>
    <row r="208" spans="2:19" hidden="1" x14ac:dyDescent="0.2">
      <c r="B208" s="609" t="s">
        <v>188</v>
      </c>
      <c r="C208" s="746" t="s">
        <v>188</v>
      </c>
      <c r="D208" s="401"/>
      <c r="E208" s="394"/>
      <c r="F208" s="402"/>
      <c r="G208" s="396"/>
      <c r="H208" s="395"/>
      <c r="I208" s="397"/>
      <c r="J208" s="398"/>
      <c r="K208" s="403">
        <f t="shared" si="72"/>
        <v>0</v>
      </c>
      <c r="L208" s="420" t="s">
        <v>755</v>
      </c>
      <c r="M208" s="30"/>
      <c r="N208" s="30">
        <v>0</v>
      </c>
      <c r="O208" s="287">
        <f t="shared" si="75"/>
        <v>0</v>
      </c>
      <c r="P208" s="287">
        <f t="shared" si="74"/>
        <v>0</v>
      </c>
      <c r="Q208" s="288"/>
      <c r="R208" s="243"/>
      <c r="S208" s="378" t="str">
        <f t="shared" si="59"/>
        <v/>
      </c>
    </row>
    <row r="209" spans="2:19" hidden="1" x14ac:dyDescent="0.2">
      <c r="B209" s="609" t="s">
        <v>188</v>
      </c>
      <c r="C209" s="746" t="s">
        <v>188</v>
      </c>
      <c r="D209" s="401"/>
      <c r="E209" s="394"/>
      <c r="F209" s="402"/>
      <c r="G209" s="396"/>
      <c r="H209" s="395"/>
      <c r="I209" s="397"/>
      <c r="J209" s="398"/>
      <c r="K209" s="403">
        <f t="shared" si="72"/>
        <v>0</v>
      </c>
      <c r="L209" s="420" t="s">
        <v>755</v>
      </c>
      <c r="M209" s="30"/>
      <c r="N209" s="30">
        <v>0</v>
      </c>
      <c r="O209" s="287">
        <f t="shared" si="75"/>
        <v>0</v>
      </c>
      <c r="P209" s="287">
        <f t="shared" si="74"/>
        <v>0</v>
      </c>
      <c r="Q209" s="288"/>
      <c r="R209" s="243"/>
      <c r="S209" s="378" t="str">
        <f t="shared" si="59"/>
        <v/>
      </c>
    </row>
    <row r="210" spans="2:19" hidden="1" x14ac:dyDescent="0.2">
      <c r="B210" s="609" t="s">
        <v>188</v>
      </c>
      <c r="C210" s="746" t="s">
        <v>188</v>
      </c>
      <c r="D210" s="401"/>
      <c r="E210" s="394"/>
      <c r="F210" s="402"/>
      <c r="G210" s="396"/>
      <c r="H210" s="395"/>
      <c r="I210" s="397"/>
      <c r="J210" s="398"/>
      <c r="K210" s="403">
        <f t="shared" si="72"/>
        <v>0</v>
      </c>
      <c r="L210" s="420" t="s">
        <v>755</v>
      </c>
      <c r="M210" s="30"/>
      <c r="N210" s="30">
        <v>0</v>
      </c>
      <c r="O210" s="287">
        <f t="shared" si="75"/>
        <v>0</v>
      </c>
      <c r="P210" s="287">
        <f t="shared" si="74"/>
        <v>0</v>
      </c>
      <c r="Q210" s="288"/>
      <c r="R210" s="243"/>
      <c r="S210" s="378" t="str">
        <f t="shared" si="59"/>
        <v/>
      </c>
    </row>
    <row r="211" spans="2:19" hidden="1" x14ac:dyDescent="0.2">
      <c r="B211" s="609" t="s">
        <v>188</v>
      </c>
      <c r="C211" s="746" t="s">
        <v>188</v>
      </c>
      <c r="D211" s="401"/>
      <c r="E211" s="394"/>
      <c r="F211" s="402"/>
      <c r="G211" s="396"/>
      <c r="H211" s="395"/>
      <c r="I211" s="397"/>
      <c r="J211" s="398"/>
      <c r="K211" s="403">
        <f t="shared" si="72"/>
        <v>0</v>
      </c>
      <c r="L211" s="420" t="s">
        <v>755</v>
      </c>
      <c r="M211" s="30"/>
      <c r="N211" s="30">
        <v>0</v>
      </c>
      <c r="O211" s="287">
        <f t="shared" si="75"/>
        <v>0</v>
      </c>
      <c r="P211" s="287">
        <f t="shared" si="74"/>
        <v>0</v>
      </c>
      <c r="Q211" s="288"/>
      <c r="R211" s="243"/>
      <c r="S211" s="378" t="str">
        <f t="shared" si="59"/>
        <v/>
      </c>
    </row>
    <row r="212" spans="2:19" hidden="1" x14ac:dyDescent="0.2">
      <c r="B212" s="609" t="s">
        <v>188</v>
      </c>
      <c r="C212" s="746" t="s">
        <v>188</v>
      </c>
      <c r="D212" s="401"/>
      <c r="E212" s="394"/>
      <c r="F212" s="402"/>
      <c r="G212" s="396"/>
      <c r="H212" s="395"/>
      <c r="I212" s="397"/>
      <c r="J212" s="398"/>
      <c r="K212" s="403">
        <f t="shared" si="72"/>
        <v>0</v>
      </c>
      <c r="L212" s="420" t="s">
        <v>755</v>
      </c>
      <c r="M212" s="30"/>
      <c r="N212" s="30">
        <v>0</v>
      </c>
      <c r="O212" s="287">
        <f t="shared" si="75"/>
        <v>0</v>
      </c>
      <c r="P212" s="287">
        <f t="shared" si="74"/>
        <v>0</v>
      </c>
      <c r="Q212" s="288"/>
      <c r="R212" s="243"/>
      <c r="S212" s="378" t="str">
        <f t="shared" si="59"/>
        <v/>
      </c>
    </row>
    <row r="213" spans="2:19" hidden="1" x14ac:dyDescent="0.2">
      <c r="B213" s="609" t="s">
        <v>188</v>
      </c>
      <c r="C213" s="746" t="s">
        <v>188</v>
      </c>
      <c r="D213" s="401"/>
      <c r="E213" s="394"/>
      <c r="F213" s="402"/>
      <c r="G213" s="396"/>
      <c r="H213" s="395"/>
      <c r="I213" s="397"/>
      <c r="J213" s="398"/>
      <c r="K213" s="403">
        <f t="shared" si="72"/>
        <v>0</v>
      </c>
      <c r="L213" s="420" t="s">
        <v>755</v>
      </c>
      <c r="M213" s="30"/>
      <c r="N213" s="30">
        <v>0</v>
      </c>
      <c r="O213" s="287">
        <f t="shared" si="75"/>
        <v>0</v>
      </c>
      <c r="P213" s="287">
        <f t="shared" si="74"/>
        <v>0</v>
      </c>
      <c r="Q213" s="288"/>
      <c r="R213" s="243"/>
      <c r="S213" s="378" t="str">
        <f t="shared" si="59"/>
        <v/>
      </c>
    </row>
    <row r="214" spans="2:19" hidden="1" x14ac:dyDescent="0.2">
      <c r="B214" s="609" t="s">
        <v>188</v>
      </c>
      <c r="C214" s="746" t="s">
        <v>188</v>
      </c>
      <c r="D214" s="401"/>
      <c r="E214" s="394"/>
      <c r="F214" s="402"/>
      <c r="G214" s="396"/>
      <c r="H214" s="395"/>
      <c r="I214" s="397"/>
      <c r="J214" s="398"/>
      <c r="K214" s="403">
        <f t="shared" si="72"/>
        <v>0</v>
      </c>
      <c r="L214" s="420" t="s">
        <v>755</v>
      </c>
      <c r="M214" s="30"/>
      <c r="N214" s="30">
        <v>0</v>
      </c>
      <c r="O214" s="287">
        <f t="shared" si="75"/>
        <v>0</v>
      </c>
      <c r="P214" s="287">
        <f t="shared" si="74"/>
        <v>0</v>
      </c>
      <c r="Q214" s="288"/>
      <c r="R214" s="243"/>
      <c r="S214" s="378" t="str">
        <f t="shared" si="59"/>
        <v/>
      </c>
    </row>
    <row r="215" spans="2:19" hidden="1" x14ac:dyDescent="0.2">
      <c r="B215" s="609" t="s">
        <v>188</v>
      </c>
      <c r="C215" s="746" t="s">
        <v>188</v>
      </c>
      <c r="D215" s="401"/>
      <c r="E215" s="394"/>
      <c r="F215" s="402"/>
      <c r="G215" s="396"/>
      <c r="H215" s="395"/>
      <c r="I215" s="397"/>
      <c r="J215" s="398"/>
      <c r="K215" s="403">
        <f t="shared" si="72"/>
        <v>0</v>
      </c>
      <c r="L215" s="420" t="s">
        <v>755</v>
      </c>
      <c r="M215" s="30"/>
      <c r="N215" s="30">
        <v>0</v>
      </c>
      <c r="O215" s="287">
        <f t="shared" si="75"/>
        <v>0</v>
      </c>
      <c r="P215" s="287">
        <f t="shared" si="74"/>
        <v>0</v>
      </c>
      <c r="Q215" s="288"/>
      <c r="R215" s="243"/>
      <c r="S215" s="378" t="str">
        <f t="shared" si="59"/>
        <v/>
      </c>
    </row>
    <row r="216" spans="2:19" hidden="1" x14ac:dyDescent="0.2">
      <c r="B216" s="609" t="s">
        <v>188</v>
      </c>
      <c r="C216" s="746" t="s">
        <v>188</v>
      </c>
      <c r="D216" s="401"/>
      <c r="E216" s="394"/>
      <c r="F216" s="402"/>
      <c r="G216" s="396"/>
      <c r="H216" s="395"/>
      <c r="I216" s="397"/>
      <c r="J216" s="398"/>
      <c r="K216" s="403">
        <f t="shared" si="72"/>
        <v>0</v>
      </c>
      <c r="L216" s="420" t="s">
        <v>755</v>
      </c>
      <c r="M216" s="30"/>
      <c r="N216" s="30">
        <v>0</v>
      </c>
      <c r="O216" s="287">
        <f t="shared" si="75"/>
        <v>0</v>
      </c>
      <c r="P216" s="287">
        <f t="shared" si="74"/>
        <v>0</v>
      </c>
      <c r="Q216" s="288"/>
      <c r="R216" s="243"/>
      <c r="S216" s="378" t="str">
        <f t="shared" si="59"/>
        <v/>
      </c>
    </row>
    <row r="217" spans="2:19" hidden="1" x14ac:dyDescent="0.2">
      <c r="B217" s="609" t="s">
        <v>188</v>
      </c>
      <c r="C217" s="746" t="s">
        <v>188</v>
      </c>
      <c r="D217" s="401"/>
      <c r="E217" s="394"/>
      <c r="F217" s="402"/>
      <c r="G217" s="396"/>
      <c r="H217" s="395"/>
      <c r="I217" s="397"/>
      <c r="J217" s="398"/>
      <c r="K217" s="403">
        <f t="shared" si="72"/>
        <v>0</v>
      </c>
      <c r="L217" s="420" t="s">
        <v>755</v>
      </c>
      <c r="M217" s="30"/>
      <c r="N217" s="30">
        <v>0</v>
      </c>
      <c r="O217" s="287">
        <f t="shared" si="75"/>
        <v>0</v>
      </c>
      <c r="P217" s="287">
        <f t="shared" si="74"/>
        <v>0</v>
      </c>
      <c r="Q217" s="288"/>
      <c r="R217" s="243"/>
      <c r="S217" s="378" t="str">
        <f t="shared" si="59"/>
        <v/>
      </c>
    </row>
    <row r="218" spans="2:19" hidden="1" x14ac:dyDescent="0.2">
      <c r="B218" s="609" t="s">
        <v>188</v>
      </c>
      <c r="C218" s="746" t="s">
        <v>188</v>
      </c>
      <c r="D218" s="401"/>
      <c r="E218" s="394"/>
      <c r="F218" s="402"/>
      <c r="G218" s="396"/>
      <c r="H218" s="395"/>
      <c r="I218" s="397"/>
      <c r="J218" s="398"/>
      <c r="K218" s="403">
        <f t="shared" si="72"/>
        <v>0</v>
      </c>
      <c r="L218" s="420" t="s">
        <v>755</v>
      </c>
      <c r="M218" s="30"/>
      <c r="N218" s="30">
        <v>0</v>
      </c>
      <c r="O218" s="287">
        <f t="shared" si="75"/>
        <v>0</v>
      </c>
      <c r="P218" s="287">
        <f t="shared" si="74"/>
        <v>0</v>
      </c>
      <c r="Q218" s="288"/>
      <c r="R218" s="243"/>
      <c r="S218" s="378" t="str">
        <f t="shared" si="59"/>
        <v/>
      </c>
    </row>
    <row r="219" spans="2:19" hidden="1" x14ac:dyDescent="0.2">
      <c r="B219" s="609" t="s">
        <v>188</v>
      </c>
      <c r="C219" s="746" t="s">
        <v>188</v>
      </c>
      <c r="D219" s="401"/>
      <c r="E219" s="394"/>
      <c r="F219" s="402"/>
      <c r="G219" s="396"/>
      <c r="H219" s="395"/>
      <c r="I219" s="397"/>
      <c r="J219" s="398"/>
      <c r="K219" s="403">
        <f t="shared" si="72"/>
        <v>0</v>
      </c>
      <c r="L219" s="420" t="s">
        <v>755</v>
      </c>
      <c r="M219" s="30"/>
      <c r="N219" s="30">
        <v>0</v>
      </c>
      <c r="O219" s="287">
        <f t="shared" si="75"/>
        <v>0</v>
      </c>
      <c r="P219" s="287">
        <f t="shared" si="74"/>
        <v>0</v>
      </c>
      <c r="Q219" s="288"/>
      <c r="R219" s="243"/>
      <c r="S219" s="378" t="str">
        <f t="shared" si="59"/>
        <v/>
      </c>
    </row>
    <row r="220" spans="2:19" hidden="1" x14ac:dyDescent="0.2">
      <c r="B220" s="609" t="s">
        <v>188</v>
      </c>
      <c r="C220" s="746" t="s">
        <v>188</v>
      </c>
      <c r="D220" s="401"/>
      <c r="E220" s="394"/>
      <c r="F220" s="402"/>
      <c r="G220" s="396"/>
      <c r="H220" s="395"/>
      <c r="I220" s="397"/>
      <c r="J220" s="398"/>
      <c r="K220" s="403">
        <f t="shared" si="72"/>
        <v>0</v>
      </c>
      <c r="L220" s="420" t="s">
        <v>755</v>
      </c>
      <c r="M220" s="30"/>
      <c r="N220" s="30">
        <v>0</v>
      </c>
      <c r="O220" s="287">
        <f t="shared" si="75"/>
        <v>0</v>
      </c>
      <c r="P220" s="287">
        <f t="shared" si="74"/>
        <v>0</v>
      </c>
      <c r="Q220" s="288"/>
      <c r="R220" s="243"/>
      <c r="S220" s="378" t="str">
        <f t="shared" si="59"/>
        <v/>
      </c>
    </row>
    <row r="221" spans="2:19" hidden="1" x14ac:dyDescent="0.2">
      <c r="B221" s="609" t="s">
        <v>188</v>
      </c>
      <c r="C221" s="746" t="s">
        <v>188</v>
      </c>
      <c r="D221" s="401"/>
      <c r="E221" s="394"/>
      <c r="F221" s="402"/>
      <c r="G221" s="396"/>
      <c r="H221" s="395"/>
      <c r="I221" s="397"/>
      <c r="J221" s="398"/>
      <c r="K221" s="403">
        <f t="shared" si="72"/>
        <v>0</v>
      </c>
      <c r="L221" s="420" t="s">
        <v>755</v>
      </c>
      <c r="M221" s="30"/>
      <c r="N221" s="30">
        <v>0</v>
      </c>
      <c r="O221" s="287">
        <f t="shared" si="75"/>
        <v>0</v>
      </c>
      <c r="P221" s="287">
        <f t="shared" si="74"/>
        <v>0</v>
      </c>
      <c r="Q221" s="288"/>
      <c r="R221" s="243"/>
      <c r="S221" s="378" t="str">
        <f t="shared" si="59"/>
        <v/>
      </c>
    </row>
    <row r="222" spans="2:19" hidden="1" x14ac:dyDescent="0.2">
      <c r="B222" s="609" t="s">
        <v>188</v>
      </c>
      <c r="C222" s="746" t="s">
        <v>188</v>
      </c>
      <c r="D222" s="401"/>
      <c r="E222" s="394"/>
      <c r="F222" s="402"/>
      <c r="G222" s="396"/>
      <c r="H222" s="395"/>
      <c r="I222" s="397"/>
      <c r="J222" s="398"/>
      <c r="K222" s="403">
        <f t="shared" si="72"/>
        <v>0</v>
      </c>
      <c r="L222" s="420" t="s">
        <v>755</v>
      </c>
      <c r="M222" s="30"/>
      <c r="N222" s="30">
        <v>0</v>
      </c>
      <c r="O222" s="287">
        <f t="shared" si="75"/>
        <v>0</v>
      </c>
      <c r="P222" s="287">
        <f t="shared" si="74"/>
        <v>0</v>
      </c>
      <c r="Q222" s="288"/>
      <c r="R222" s="243"/>
      <c r="S222" s="378" t="str">
        <f t="shared" ref="S222:S285" si="76">IF(R222="x","x",IF(R222="y","x",IF(R222="xy","x",IF(P222&gt;0,"x",""))))</f>
        <v/>
      </c>
    </row>
    <row r="223" spans="2:19" hidden="1" x14ac:dyDescent="0.2">
      <c r="B223" s="609" t="s">
        <v>188</v>
      </c>
      <c r="C223" s="746" t="s">
        <v>188</v>
      </c>
      <c r="D223" s="401"/>
      <c r="E223" s="394"/>
      <c r="F223" s="402"/>
      <c r="G223" s="396"/>
      <c r="H223" s="395"/>
      <c r="I223" s="397"/>
      <c r="J223" s="398"/>
      <c r="K223" s="403">
        <f t="shared" si="72"/>
        <v>0</v>
      </c>
      <c r="L223" s="420" t="s">
        <v>755</v>
      </c>
      <c r="M223" s="30"/>
      <c r="N223" s="30">
        <v>0</v>
      </c>
      <c r="O223" s="287">
        <f t="shared" si="75"/>
        <v>0</v>
      </c>
      <c r="P223" s="287">
        <f t="shared" si="74"/>
        <v>0</v>
      </c>
      <c r="Q223" s="288"/>
      <c r="R223" s="243"/>
      <c r="S223" s="378" t="str">
        <f t="shared" si="76"/>
        <v/>
      </c>
    </row>
    <row r="224" spans="2:19" hidden="1" x14ac:dyDescent="0.2">
      <c r="B224" s="609" t="s">
        <v>188</v>
      </c>
      <c r="C224" s="746" t="s">
        <v>188</v>
      </c>
      <c r="D224" s="401"/>
      <c r="E224" s="394"/>
      <c r="F224" s="402"/>
      <c r="G224" s="396"/>
      <c r="H224" s="395"/>
      <c r="I224" s="397"/>
      <c r="J224" s="398"/>
      <c r="K224" s="403">
        <f t="shared" si="72"/>
        <v>0</v>
      </c>
      <c r="L224" s="420" t="s">
        <v>755</v>
      </c>
      <c r="M224" s="30"/>
      <c r="N224" s="30">
        <v>0</v>
      </c>
      <c r="O224" s="287">
        <f t="shared" si="75"/>
        <v>0</v>
      </c>
      <c r="P224" s="287">
        <f t="shared" si="74"/>
        <v>0</v>
      </c>
      <c r="Q224" s="288"/>
      <c r="R224" s="243"/>
      <c r="S224" s="378" t="str">
        <f t="shared" si="76"/>
        <v/>
      </c>
    </row>
    <row r="225" spans="2:19" ht="13.5" hidden="1" thickBot="1" x14ac:dyDescent="0.25">
      <c r="B225" s="610" t="s">
        <v>188</v>
      </c>
      <c r="C225" s="747" t="s">
        <v>188</v>
      </c>
      <c r="D225" s="404"/>
      <c r="E225" s="405"/>
      <c r="F225" s="406"/>
      <c r="G225" s="407"/>
      <c r="H225" s="408"/>
      <c r="I225" s="409"/>
      <c r="J225" s="410"/>
      <c r="K225" s="411">
        <f t="shared" si="72"/>
        <v>0</v>
      </c>
      <c r="L225" s="421" t="s">
        <v>755</v>
      </c>
      <c r="M225" s="30"/>
      <c r="N225" s="30">
        <v>0</v>
      </c>
      <c r="O225" s="413">
        <f t="shared" si="75"/>
        <v>0</v>
      </c>
      <c r="P225" s="413">
        <f t="shared" si="74"/>
        <v>0</v>
      </c>
      <c r="Q225" s="288"/>
      <c r="R225" s="243"/>
      <c r="S225" s="378" t="str">
        <f t="shared" si="76"/>
        <v/>
      </c>
    </row>
    <row r="226" spans="2:19" ht="13.5" thickBot="1" x14ac:dyDescent="0.25">
      <c r="B226" s="611" t="s">
        <v>208</v>
      </c>
      <c r="C226" s="636"/>
      <c r="D226" s="637" t="s">
        <v>474</v>
      </c>
      <c r="E226" s="635"/>
      <c r="F226" s="626"/>
      <c r="G226" s="627"/>
      <c r="H226" s="628"/>
      <c r="I226" s="605"/>
      <c r="J226" s="605"/>
      <c r="K226" s="605"/>
      <c r="L226" s="644" t="s">
        <v>755</v>
      </c>
      <c r="M226" s="375"/>
      <c r="N226" s="376"/>
      <c r="O226" s="376"/>
      <c r="P226" s="294"/>
      <c r="Q226" s="295">
        <f>SUM(O227:O475)</f>
        <v>49988.59</v>
      </c>
      <c r="R226" s="311" t="str">
        <f>IF(Q226&gt;0,"xy","")</f>
        <v>xy</v>
      </c>
      <c r="S226" s="378" t="str">
        <f t="shared" si="76"/>
        <v>x</v>
      </c>
    </row>
    <row r="227" spans="2:19" ht="13.5" hidden="1" thickBot="1" x14ac:dyDescent="0.25">
      <c r="B227" s="778" t="s">
        <v>1944</v>
      </c>
      <c r="C227" s="750" t="s">
        <v>498</v>
      </c>
      <c r="D227" s="751" t="s">
        <v>238</v>
      </c>
      <c r="E227" s="752"/>
      <c r="F227" s="779"/>
      <c r="G227" s="780"/>
      <c r="H227" s="781"/>
      <c r="I227" s="655">
        <v>0.5</v>
      </c>
      <c r="J227" s="655">
        <f t="shared" ref="J227" si="77">IF(ISBLANK(I227),"",SUM(H227:I227))</f>
        <v>0.5</v>
      </c>
      <c r="K227" s="646">
        <f t="shared" ref="K227:K281" si="78">IF(ISBLANK(I227),0,ROUND(J227*(1+$F$10)*(1+$F$11*E227),2))</f>
        <v>0.63</v>
      </c>
      <c r="L227" s="647" t="s">
        <v>18</v>
      </c>
      <c r="M227" s="689"/>
      <c r="N227" s="690">
        <v>0.63</v>
      </c>
      <c r="O227" s="691">
        <f t="shared" ref="O227:O235" si="79">IF(ISBLANK(M227),0,ROUND(K227*M227,2))</f>
        <v>0</v>
      </c>
      <c r="P227" s="692">
        <f t="shared" ref="P227:P235" si="80">IF(ISBLANK(N227),0,ROUND(M227*N227,2))</f>
        <v>0</v>
      </c>
      <c r="Q227" s="288"/>
      <c r="R227" s="243"/>
      <c r="S227" s="378" t="str">
        <f t="shared" si="76"/>
        <v/>
      </c>
    </row>
    <row r="228" spans="2:19" hidden="1" x14ac:dyDescent="0.2">
      <c r="B228" s="782" t="s">
        <v>1945</v>
      </c>
      <c r="C228" s="710" t="s">
        <v>207</v>
      </c>
      <c r="D228" s="716" t="s">
        <v>1765</v>
      </c>
      <c r="E228" s="717"/>
      <c r="F228" s="658" t="s">
        <v>809</v>
      </c>
      <c r="G228" s="659">
        <v>1.1999999999999999E-3</v>
      </c>
      <c r="H228" s="660"/>
      <c r="I228" s="656">
        <v>0.44</v>
      </c>
      <c r="J228" s="656">
        <f>I228</f>
        <v>0.44</v>
      </c>
      <c r="K228" s="606">
        <f t="shared" si="78"/>
        <v>0.56000000000000005</v>
      </c>
      <c r="L228" s="648" t="s">
        <v>18</v>
      </c>
      <c r="M228" s="693"/>
      <c r="N228" s="30">
        <v>0.56000000000000005</v>
      </c>
      <c r="O228" s="379">
        <f t="shared" si="79"/>
        <v>0</v>
      </c>
      <c r="P228" s="694">
        <f t="shared" si="80"/>
        <v>0</v>
      </c>
      <c r="Q228" s="288"/>
      <c r="R228" s="243"/>
      <c r="S228" s="378" t="str">
        <f t="shared" si="76"/>
        <v/>
      </c>
    </row>
    <row r="229" spans="2:19" ht="13.5" hidden="1" thickBot="1" x14ac:dyDescent="0.25">
      <c r="B229" s="783" t="s">
        <v>1946</v>
      </c>
      <c r="C229" s="753" t="s">
        <v>1947</v>
      </c>
      <c r="D229" s="754" t="s">
        <v>931</v>
      </c>
      <c r="E229" s="718"/>
      <c r="F229" s="784">
        <v>500</v>
      </c>
      <c r="G229" s="785">
        <v>1</v>
      </c>
      <c r="H229" s="663">
        <f>(0.74*F229+36.12)*G229</f>
        <v>406.12</v>
      </c>
      <c r="I229" s="657">
        <v>4520.62</v>
      </c>
      <c r="J229" s="657">
        <f>IF(ISBLANK(I229),"",I229*(1+$F$9)/(1+$F$10))+H229</f>
        <v>4719.1659692307685</v>
      </c>
      <c r="K229" s="619">
        <f t="shared" si="78"/>
        <v>5981.54</v>
      </c>
      <c r="L229" s="649" t="s">
        <v>20</v>
      </c>
      <c r="M229" s="695">
        <f>ROUND(M228*G228,2)</f>
        <v>0</v>
      </c>
      <c r="N229" s="696">
        <v>5981.54</v>
      </c>
      <c r="O229" s="425">
        <f t="shared" si="79"/>
        <v>0</v>
      </c>
      <c r="P229" s="426">
        <f t="shared" si="80"/>
        <v>0</v>
      </c>
      <c r="Q229" s="288"/>
      <c r="R229" s="243"/>
      <c r="S229" s="378" t="str">
        <f t="shared" si="76"/>
        <v/>
      </c>
    </row>
    <row r="230" spans="2:19" x14ac:dyDescent="0.2">
      <c r="B230" s="782" t="s">
        <v>1948</v>
      </c>
      <c r="C230" s="710" t="s">
        <v>207</v>
      </c>
      <c r="D230" s="716" t="s">
        <v>788</v>
      </c>
      <c r="E230" s="717"/>
      <c r="F230" s="658" t="s">
        <v>809</v>
      </c>
      <c r="G230" s="659">
        <v>1.1999999999999999E-3</v>
      </c>
      <c r="H230" s="660"/>
      <c r="I230" s="656">
        <v>0.44</v>
      </c>
      <c r="J230" s="656">
        <f t="shared" ref="J230" si="81">IF(ISBLANK(I230),"",SUM(H230:I230))</f>
        <v>0.44</v>
      </c>
      <c r="K230" s="606">
        <f t="shared" si="78"/>
        <v>0.56000000000000005</v>
      </c>
      <c r="L230" s="648" t="s">
        <v>18</v>
      </c>
      <c r="M230" s="693">
        <v>1076.3800000000001</v>
      </c>
      <c r="N230" s="30">
        <v>0.56000000000000005</v>
      </c>
      <c r="O230" s="379">
        <f t="shared" si="79"/>
        <v>602.77</v>
      </c>
      <c r="P230" s="694">
        <f t="shared" si="80"/>
        <v>602.77</v>
      </c>
      <c r="Q230" s="288"/>
      <c r="R230" s="243"/>
      <c r="S230" s="378" t="str">
        <f t="shared" si="76"/>
        <v>x</v>
      </c>
    </row>
    <row r="231" spans="2:19" ht="13.5" thickBot="1" x14ac:dyDescent="0.25">
      <c r="B231" s="783" t="s">
        <v>1949</v>
      </c>
      <c r="C231" s="753" t="s">
        <v>1947</v>
      </c>
      <c r="D231" s="754" t="s">
        <v>932</v>
      </c>
      <c r="E231" s="718"/>
      <c r="F231" s="784">
        <v>51.3</v>
      </c>
      <c r="G231" s="785">
        <v>1</v>
      </c>
      <c r="H231" s="663">
        <f>(0.74*F231+36.12)*G231</f>
        <v>74.081999999999994</v>
      </c>
      <c r="I231" s="657">
        <v>4612.63</v>
      </c>
      <c r="J231" s="657">
        <f>IF(ISBLANK(I231),"",I231*(1+$F$9)/(1+$F$10))+H231</f>
        <v>4474.9131313609478</v>
      </c>
      <c r="K231" s="619">
        <f t="shared" si="78"/>
        <v>5671.95</v>
      </c>
      <c r="L231" s="649" t="s">
        <v>20</v>
      </c>
      <c r="M231" s="695">
        <f>ROUND(M230*G230,2)</f>
        <v>1.29</v>
      </c>
      <c r="N231" s="696">
        <v>5671.95</v>
      </c>
      <c r="O231" s="425">
        <f t="shared" si="79"/>
        <v>7316.82</v>
      </c>
      <c r="P231" s="426">
        <f t="shared" si="80"/>
        <v>7316.82</v>
      </c>
      <c r="Q231" s="288"/>
      <c r="R231" s="243"/>
      <c r="S231" s="378" t="str">
        <f t="shared" si="76"/>
        <v>x</v>
      </c>
    </row>
    <row r="232" spans="2:19" hidden="1" x14ac:dyDescent="0.2">
      <c r="B232" s="782" t="s">
        <v>1950</v>
      </c>
      <c r="C232" s="710" t="s">
        <v>207</v>
      </c>
      <c r="D232" s="716" t="s">
        <v>789</v>
      </c>
      <c r="E232" s="717"/>
      <c r="F232" s="658" t="s">
        <v>809</v>
      </c>
      <c r="G232" s="659">
        <v>1.1999999999999999E-3</v>
      </c>
      <c r="H232" s="660"/>
      <c r="I232" s="656">
        <v>0.44</v>
      </c>
      <c r="J232" s="656">
        <f t="shared" ref="J232:J234" si="82">IF(ISBLANK(I232),"",SUM(H232:I232))</f>
        <v>0.44</v>
      </c>
      <c r="K232" s="606">
        <f t="shared" si="78"/>
        <v>0.56000000000000005</v>
      </c>
      <c r="L232" s="648" t="s">
        <v>18</v>
      </c>
      <c r="M232" s="693"/>
      <c r="N232" s="30">
        <v>0.56000000000000005</v>
      </c>
      <c r="O232" s="379">
        <f t="shared" si="79"/>
        <v>0</v>
      </c>
      <c r="P232" s="694">
        <f t="shared" si="80"/>
        <v>0</v>
      </c>
      <c r="Q232" s="288"/>
      <c r="R232" s="243"/>
      <c r="S232" s="378" t="str">
        <f t="shared" si="76"/>
        <v/>
      </c>
    </row>
    <row r="233" spans="2:19" ht="13.5" hidden="1" thickBot="1" x14ac:dyDescent="0.25">
      <c r="B233" s="783" t="s">
        <v>1951</v>
      </c>
      <c r="C233" s="753" t="s">
        <v>1947</v>
      </c>
      <c r="D233" s="754" t="s">
        <v>795</v>
      </c>
      <c r="E233" s="718"/>
      <c r="F233" s="784">
        <v>500</v>
      </c>
      <c r="G233" s="785">
        <v>1</v>
      </c>
      <c r="H233" s="663">
        <f>(0.74*F233+36.12)*G233</f>
        <v>406.12</v>
      </c>
      <c r="I233" s="657">
        <v>7777.8</v>
      </c>
      <c r="J233" s="657">
        <f>IF(ISBLANK(I233),"",I233*(1+$F$9)/(1+$F$10))+H233</f>
        <v>7826.7855147928994</v>
      </c>
      <c r="K233" s="619">
        <f t="shared" si="78"/>
        <v>9920.4500000000007</v>
      </c>
      <c r="L233" s="649" t="s">
        <v>20</v>
      </c>
      <c r="M233" s="695">
        <f>ROUND(M232*G232,2)</f>
        <v>0</v>
      </c>
      <c r="N233" s="696">
        <v>9920.4500000000007</v>
      </c>
      <c r="O233" s="425">
        <f t="shared" si="79"/>
        <v>0</v>
      </c>
      <c r="P233" s="426">
        <f t="shared" si="80"/>
        <v>0</v>
      </c>
      <c r="Q233" s="288"/>
      <c r="R233" s="243"/>
      <c r="S233" s="378" t="str">
        <f t="shared" si="76"/>
        <v/>
      </c>
    </row>
    <row r="234" spans="2:19" x14ac:dyDescent="0.2">
      <c r="B234" s="782" t="s">
        <v>1952</v>
      </c>
      <c r="C234" s="710" t="s">
        <v>207</v>
      </c>
      <c r="D234" s="716" t="s">
        <v>933</v>
      </c>
      <c r="E234" s="717"/>
      <c r="F234" s="658" t="s">
        <v>809</v>
      </c>
      <c r="G234" s="659">
        <v>5.0000000000000001E-4</v>
      </c>
      <c r="H234" s="660"/>
      <c r="I234" s="656">
        <v>0.3</v>
      </c>
      <c r="J234" s="656">
        <f t="shared" si="82"/>
        <v>0.3</v>
      </c>
      <c r="K234" s="606">
        <f t="shared" si="78"/>
        <v>0.38</v>
      </c>
      <c r="L234" s="648" t="s">
        <v>18</v>
      </c>
      <c r="M234" s="693">
        <v>1076.3800000000001</v>
      </c>
      <c r="N234" s="30">
        <v>0.38</v>
      </c>
      <c r="O234" s="379">
        <f t="shared" si="79"/>
        <v>409.02</v>
      </c>
      <c r="P234" s="694">
        <f t="shared" si="80"/>
        <v>409.02</v>
      </c>
      <c r="Q234" s="288"/>
      <c r="R234" s="243"/>
      <c r="S234" s="378" t="str">
        <f t="shared" si="76"/>
        <v>x</v>
      </c>
    </row>
    <row r="235" spans="2:19" ht="13.5" thickBot="1" x14ac:dyDescent="0.25">
      <c r="B235" s="783" t="s">
        <v>1953</v>
      </c>
      <c r="C235" s="753" t="s">
        <v>1947</v>
      </c>
      <c r="D235" s="754" t="s">
        <v>934</v>
      </c>
      <c r="E235" s="718"/>
      <c r="F235" s="784">
        <v>51.3</v>
      </c>
      <c r="G235" s="786">
        <v>1</v>
      </c>
      <c r="H235" s="663">
        <f>(0.74*F235+36.12)*G235</f>
        <v>74.081999999999994</v>
      </c>
      <c r="I235" s="657">
        <v>4520.62</v>
      </c>
      <c r="J235" s="657">
        <f>IF(ISBLANK(I235),"",I235*(1+$F$9)/(1+$F$10))+H235</f>
        <v>4387.1279692307689</v>
      </c>
      <c r="K235" s="619">
        <f t="shared" si="78"/>
        <v>5560.68</v>
      </c>
      <c r="L235" s="649" t="s">
        <v>20</v>
      </c>
      <c r="M235" s="695">
        <f>ROUND(M234*G234,2)</f>
        <v>0.54</v>
      </c>
      <c r="N235" s="696">
        <v>5560.68</v>
      </c>
      <c r="O235" s="425">
        <f t="shared" si="79"/>
        <v>3002.77</v>
      </c>
      <c r="P235" s="426">
        <f t="shared" si="80"/>
        <v>3002.77</v>
      </c>
      <c r="Q235" s="288"/>
      <c r="R235" s="243"/>
      <c r="S235" s="378" t="str">
        <f t="shared" si="76"/>
        <v>x</v>
      </c>
    </row>
    <row r="236" spans="2:19" hidden="1" x14ac:dyDescent="0.2">
      <c r="B236" s="787" t="s">
        <v>1954</v>
      </c>
      <c r="C236" s="709" t="s">
        <v>207</v>
      </c>
      <c r="D236" s="383" t="s">
        <v>239</v>
      </c>
      <c r="E236" s="704"/>
      <c r="F236" s="661">
        <v>20</v>
      </c>
      <c r="G236" s="726">
        <v>0.3</v>
      </c>
      <c r="H236" s="660">
        <f t="shared" ref="H236:H237" si="83">IF(F236&lt;=30,(1.05*F236+2.18)*G236,((1.05*30+2.18)+0.87*(F236-30))*G236)</f>
        <v>6.9539999999999997</v>
      </c>
      <c r="I236" s="380">
        <v>24.94</v>
      </c>
      <c r="J236" s="631">
        <f t="shared" ref="J236" si="84">IF(ISBLANK(I236),"",SUM(H236:I236))</f>
        <v>31.894000000000002</v>
      </c>
      <c r="K236" s="593">
        <f t="shared" si="78"/>
        <v>40.43</v>
      </c>
      <c r="L236" s="594" t="s">
        <v>18</v>
      </c>
      <c r="M236" s="30"/>
      <c r="N236" s="30">
        <v>40.43</v>
      </c>
      <c r="O236" s="287">
        <f t="shared" ref="O236" si="85">IF(ISBLANK(M236),0,ROUND(K236*M236,2))</f>
        <v>0</v>
      </c>
      <c r="P236" s="287">
        <f t="shared" ref="P236" si="86">IF(ISBLANK(N236),0,ROUND(M236*N236,2))</f>
        <v>0</v>
      </c>
      <c r="Q236" s="288"/>
      <c r="R236" s="243"/>
      <c r="S236" s="378" t="str">
        <f t="shared" si="76"/>
        <v/>
      </c>
    </row>
    <row r="237" spans="2:19" hidden="1" x14ac:dyDescent="0.2">
      <c r="B237" s="730" t="s">
        <v>1734</v>
      </c>
      <c r="C237" s="300" t="s">
        <v>207</v>
      </c>
      <c r="D237" s="383" t="s">
        <v>240</v>
      </c>
      <c r="E237" s="704"/>
      <c r="F237" s="661">
        <v>20</v>
      </c>
      <c r="G237" s="701">
        <v>7.6999999999999999E-2</v>
      </c>
      <c r="H237" s="663">
        <f t="shared" si="83"/>
        <v>1.7848599999999999</v>
      </c>
      <c r="I237" s="380">
        <v>10.85</v>
      </c>
      <c r="J237" s="631">
        <f>IF(ISBLANK(I237),"",SUM(H237:I237))</f>
        <v>12.63486</v>
      </c>
      <c r="K237" s="593">
        <f t="shared" si="78"/>
        <v>16.010000000000002</v>
      </c>
      <c r="L237" s="594" t="s">
        <v>19</v>
      </c>
      <c r="M237" s="30"/>
      <c r="N237" s="30">
        <v>16.010000000000002</v>
      </c>
      <c r="O237" s="287">
        <f t="shared" si="67"/>
        <v>0</v>
      </c>
      <c r="P237" s="287">
        <f t="shared" si="68"/>
        <v>0</v>
      </c>
      <c r="Q237" s="288"/>
      <c r="R237" s="243"/>
      <c r="S237" s="378" t="str">
        <f t="shared" si="76"/>
        <v/>
      </c>
    </row>
    <row r="238" spans="2:19" hidden="1" x14ac:dyDescent="0.2">
      <c r="B238" s="730" t="s">
        <v>1735</v>
      </c>
      <c r="C238" s="300" t="s">
        <v>207</v>
      </c>
      <c r="D238" s="383" t="s">
        <v>499</v>
      </c>
      <c r="E238" s="704"/>
      <c r="F238" s="661"/>
      <c r="G238" s="701"/>
      <c r="H238" s="664"/>
      <c r="I238" s="380">
        <v>9.42</v>
      </c>
      <c r="J238" s="631">
        <f>IF(ISBLANK(I238),"",SUM(H238:I238))</f>
        <v>9.42</v>
      </c>
      <c r="K238" s="593">
        <f t="shared" si="78"/>
        <v>11.94</v>
      </c>
      <c r="L238" s="594" t="s">
        <v>18</v>
      </c>
      <c r="M238" s="30"/>
      <c r="N238" s="30">
        <v>11.94</v>
      </c>
      <c r="O238" s="287">
        <f t="shared" si="67"/>
        <v>0</v>
      </c>
      <c r="P238" s="287">
        <f t="shared" si="68"/>
        <v>0</v>
      </c>
      <c r="Q238" s="288"/>
      <c r="R238" s="243"/>
      <c r="S238" s="378" t="str">
        <f t="shared" si="76"/>
        <v/>
      </c>
    </row>
    <row r="239" spans="2:19" hidden="1" x14ac:dyDescent="0.2">
      <c r="B239" s="730" t="s">
        <v>1736</v>
      </c>
      <c r="C239" s="300" t="s">
        <v>207</v>
      </c>
      <c r="D239" s="383" t="s">
        <v>241</v>
      </c>
      <c r="E239" s="704"/>
      <c r="F239" s="661"/>
      <c r="G239" s="701"/>
      <c r="H239" s="664"/>
      <c r="I239" s="380">
        <v>13.188000000000001</v>
      </c>
      <c r="J239" s="631">
        <f>IF(ISBLANK(I239),"",SUM(H239:I239))</f>
        <v>13.188000000000001</v>
      </c>
      <c r="K239" s="593">
        <f t="shared" si="78"/>
        <v>16.72</v>
      </c>
      <c r="L239" s="594" t="s">
        <v>18</v>
      </c>
      <c r="M239" s="30"/>
      <c r="N239" s="30">
        <v>16.72</v>
      </c>
      <c r="O239" s="287">
        <f t="shared" si="67"/>
        <v>0</v>
      </c>
      <c r="P239" s="287">
        <f t="shared" si="68"/>
        <v>0</v>
      </c>
      <c r="Q239" s="288"/>
      <c r="R239" s="243"/>
      <c r="S239" s="378" t="str">
        <f t="shared" si="76"/>
        <v/>
      </c>
    </row>
    <row r="240" spans="2:19" hidden="1" x14ac:dyDescent="0.2">
      <c r="B240" s="730" t="s">
        <v>1955</v>
      </c>
      <c r="C240" s="300" t="s">
        <v>207</v>
      </c>
      <c r="D240" s="383" t="s">
        <v>242</v>
      </c>
      <c r="E240" s="704"/>
      <c r="F240" s="661">
        <v>20</v>
      </c>
      <c r="G240" s="665">
        <v>0.27200000000000002</v>
      </c>
      <c r="H240" s="663">
        <f t="shared" ref="H240:H253" si="87">IF(F240&lt;=30,(1.05*F240+2.18)*G240,((1.05*30+2.18)+0.87*(F240-30))*G240)</f>
        <v>6.3049600000000003</v>
      </c>
      <c r="I240" s="380">
        <v>102.88</v>
      </c>
      <c r="J240" s="631">
        <f>IF(ISBLANK(I240),"",SUM(H240:I240))</f>
        <v>109.18495999999999</v>
      </c>
      <c r="K240" s="593">
        <f t="shared" si="78"/>
        <v>138.38999999999999</v>
      </c>
      <c r="L240" s="594" t="s">
        <v>18</v>
      </c>
      <c r="M240" s="30"/>
      <c r="N240" s="30">
        <v>138.38999999999999</v>
      </c>
      <c r="O240" s="287">
        <f t="shared" si="67"/>
        <v>0</v>
      </c>
      <c r="P240" s="287">
        <f t="shared" si="68"/>
        <v>0</v>
      </c>
      <c r="Q240" s="288"/>
      <c r="R240" s="243"/>
      <c r="S240" s="378" t="str">
        <f t="shared" si="76"/>
        <v/>
      </c>
    </row>
    <row r="241" spans="2:19" hidden="1" x14ac:dyDescent="0.2">
      <c r="B241" s="730" t="s">
        <v>1741</v>
      </c>
      <c r="C241" s="300" t="s">
        <v>207</v>
      </c>
      <c r="D241" s="383" t="s">
        <v>243</v>
      </c>
      <c r="E241" s="704"/>
      <c r="F241" s="661">
        <v>20</v>
      </c>
      <c r="G241" s="665">
        <f>2*0.04</f>
        <v>0.08</v>
      </c>
      <c r="H241" s="663">
        <f t="shared" si="87"/>
        <v>1.8544</v>
      </c>
      <c r="I241" s="380">
        <v>51.096000000000004</v>
      </c>
      <c r="J241" s="631">
        <f>IF(ISBLANK(I241),"",SUM(H241:I241))</f>
        <v>52.950400000000002</v>
      </c>
      <c r="K241" s="593">
        <f t="shared" si="78"/>
        <v>67.11</v>
      </c>
      <c r="L241" s="594" t="s">
        <v>18</v>
      </c>
      <c r="M241" s="30"/>
      <c r="N241" s="30">
        <v>67.11</v>
      </c>
      <c r="O241" s="287">
        <f t="shared" si="67"/>
        <v>0</v>
      </c>
      <c r="P241" s="287">
        <f t="shared" si="68"/>
        <v>0</v>
      </c>
      <c r="Q241" s="288"/>
      <c r="R241" s="243"/>
      <c r="S241" s="378" t="str">
        <f t="shared" si="76"/>
        <v/>
      </c>
    </row>
    <row r="242" spans="2:19" hidden="1" x14ac:dyDescent="0.2">
      <c r="B242" s="730" t="s">
        <v>1742</v>
      </c>
      <c r="C242" s="300" t="s">
        <v>207</v>
      </c>
      <c r="D242" s="383" t="s">
        <v>244</v>
      </c>
      <c r="E242" s="704"/>
      <c r="F242" s="661">
        <v>20</v>
      </c>
      <c r="G242" s="665">
        <f>2*0.05</f>
        <v>0.1</v>
      </c>
      <c r="H242" s="663">
        <f t="shared" si="87"/>
        <v>2.3180000000000001</v>
      </c>
      <c r="I242" s="380">
        <v>57.48</v>
      </c>
      <c r="J242" s="631">
        <f t="shared" ref="J242:J252" si="88">IF(ISBLANK(I242),"",SUM(H242:I242))</f>
        <v>59.797999999999995</v>
      </c>
      <c r="K242" s="593">
        <f t="shared" si="78"/>
        <v>75.790000000000006</v>
      </c>
      <c r="L242" s="594" t="s">
        <v>18</v>
      </c>
      <c r="M242" s="30"/>
      <c r="N242" s="30">
        <v>75.790000000000006</v>
      </c>
      <c r="O242" s="287">
        <f t="shared" si="67"/>
        <v>0</v>
      </c>
      <c r="P242" s="287">
        <f t="shared" si="68"/>
        <v>0</v>
      </c>
      <c r="Q242" s="288"/>
      <c r="R242" s="243"/>
      <c r="S242" s="378" t="str">
        <f t="shared" si="76"/>
        <v/>
      </c>
    </row>
    <row r="243" spans="2:19" hidden="1" x14ac:dyDescent="0.2">
      <c r="B243" s="730" t="s">
        <v>1743</v>
      </c>
      <c r="C243" s="300" t="s">
        <v>207</v>
      </c>
      <c r="D243" s="383" t="s">
        <v>245</v>
      </c>
      <c r="E243" s="704"/>
      <c r="F243" s="661">
        <v>20</v>
      </c>
      <c r="G243" s="665">
        <f>2*0.06</f>
        <v>0.12</v>
      </c>
      <c r="H243" s="663">
        <f t="shared" si="87"/>
        <v>2.7816000000000001</v>
      </c>
      <c r="I243" s="380">
        <v>63.87</v>
      </c>
      <c r="J243" s="631">
        <f t="shared" si="88"/>
        <v>66.651600000000002</v>
      </c>
      <c r="K243" s="593">
        <f t="shared" si="78"/>
        <v>84.48</v>
      </c>
      <c r="L243" s="594" t="s">
        <v>18</v>
      </c>
      <c r="M243" s="30"/>
      <c r="N243" s="30">
        <v>84.48</v>
      </c>
      <c r="O243" s="287">
        <f t="shared" si="67"/>
        <v>0</v>
      </c>
      <c r="P243" s="287">
        <f t="shared" si="68"/>
        <v>0</v>
      </c>
      <c r="Q243" s="288"/>
      <c r="R243" s="243"/>
      <c r="S243" s="378" t="str">
        <f t="shared" si="76"/>
        <v/>
      </c>
    </row>
    <row r="244" spans="2:19" hidden="1" x14ac:dyDescent="0.2">
      <c r="B244" s="730" t="s">
        <v>1744</v>
      </c>
      <c r="C244" s="300" t="s">
        <v>207</v>
      </c>
      <c r="D244" s="383" t="s">
        <v>246</v>
      </c>
      <c r="E244" s="704"/>
      <c r="F244" s="661">
        <v>20</v>
      </c>
      <c r="G244" s="665">
        <f>2*0.07</f>
        <v>0.14000000000000001</v>
      </c>
      <c r="H244" s="663">
        <f t="shared" si="87"/>
        <v>3.2452000000000001</v>
      </c>
      <c r="I244" s="380">
        <v>69.83</v>
      </c>
      <c r="J244" s="631">
        <f t="shared" si="88"/>
        <v>73.075199999999995</v>
      </c>
      <c r="K244" s="593">
        <f t="shared" si="78"/>
        <v>92.62</v>
      </c>
      <c r="L244" s="594" t="s">
        <v>18</v>
      </c>
      <c r="M244" s="30"/>
      <c r="N244" s="30">
        <v>92.62</v>
      </c>
      <c r="O244" s="287">
        <f t="shared" si="67"/>
        <v>0</v>
      </c>
      <c r="P244" s="287">
        <f t="shared" si="68"/>
        <v>0</v>
      </c>
      <c r="Q244" s="288"/>
      <c r="R244" s="243"/>
      <c r="S244" s="378" t="str">
        <f t="shared" si="76"/>
        <v/>
      </c>
    </row>
    <row r="245" spans="2:19" hidden="1" x14ac:dyDescent="0.2">
      <c r="B245" s="730" t="s">
        <v>172</v>
      </c>
      <c r="C245" s="300" t="s">
        <v>207</v>
      </c>
      <c r="D245" s="383" t="s">
        <v>247</v>
      </c>
      <c r="E245" s="704"/>
      <c r="F245" s="661">
        <v>20</v>
      </c>
      <c r="G245" s="665">
        <f>2*0.08</f>
        <v>0.16</v>
      </c>
      <c r="H245" s="663">
        <f t="shared" si="87"/>
        <v>3.7088000000000001</v>
      </c>
      <c r="I245" s="380">
        <v>75.78</v>
      </c>
      <c r="J245" s="631">
        <f t="shared" si="88"/>
        <v>79.488799999999998</v>
      </c>
      <c r="K245" s="593">
        <f t="shared" si="78"/>
        <v>100.75</v>
      </c>
      <c r="L245" s="594" t="s">
        <v>18</v>
      </c>
      <c r="M245" s="30"/>
      <c r="N245" s="30">
        <v>100.75</v>
      </c>
      <c r="O245" s="287">
        <f t="shared" si="67"/>
        <v>0</v>
      </c>
      <c r="P245" s="287">
        <f t="shared" si="68"/>
        <v>0</v>
      </c>
      <c r="Q245" s="288"/>
      <c r="R245" s="243"/>
      <c r="S245" s="378" t="str">
        <f t="shared" si="76"/>
        <v/>
      </c>
    </row>
    <row r="246" spans="2:19" hidden="1" x14ac:dyDescent="0.2">
      <c r="B246" s="730" t="s">
        <v>230</v>
      </c>
      <c r="C246" s="300" t="s">
        <v>207</v>
      </c>
      <c r="D246" s="383" t="s">
        <v>248</v>
      </c>
      <c r="E246" s="704"/>
      <c r="F246" s="661">
        <v>20</v>
      </c>
      <c r="G246" s="665">
        <f>2*0.1</f>
        <v>0.2</v>
      </c>
      <c r="H246" s="663">
        <f t="shared" si="87"/>
        <v>4.6360000000000001</v>
      </c>
      <c r="I246" s="380">
        <v>85.831689655172411</v>
      </c>
      <c r="J246" s="631">
        <f t="shared" si="88"/>
        <v>90.467689655172407</v>
      </c>
      <c r="K246" s="593">
        <f t="shared" si="78"/>
        <v>114.67</v>
      </c>
      <c r="L246" s="594" t="s">
        <v>18</v>
      </c>
      <c r="M246" s="30"/>
      <c r="N246" s="30">
        <v>114.67</v>
      </c>
      <c r="O246" s="287">
        <f t="shared" si="67"/>
        <v>0</v>
      </c>
      <c r="P246" s="287">
        <f t="shared" si="68"/>
        <v>0</v>
      </c>
      <c r="Q246" s="288"/>
      <c r="R246" s="243"/>
      <c r="S246" s="378" t="str">
        <f t="shared" si="76"/>
        <v/>
      </c>
    </row>
    <row r="247" spans="2:19" hidden="1" x14ac:dyDescent="0.2">
      <c r="B247" s="730" t="s">
        <v>231</v>
      </c>
      <c r="C247" s="300" t="s">
        <v>207</v>
      </c>
      <c r="D247" s="383" t="s">
        <v>991</v>
      </c>
      <c r="E247" s="704"/>
      <c r="F247" s="661">
        <v>20</v>
      </c>
      <c r="G247" s="665">
        <v>0.14000000000000001</v>
      </c>
      <c r="H247" s="663">
        <f t="shared" si="87"/>
        <v>3.2452000000000001</v>
      </c>
      <c r="I247" s="380">
        <v>63.87</v>
      </c>
      <c r="J247" s="631">
        <f t="shared" si="88"/>
        <v>67.115200000000002</v>
      </c>
      <c r="K247" s="593">
        <f t="shared" si="78"/>
        <v>85.07</v>
      </c>
      <c r="L247" s="594" t="s">
        <v>18</v>
      </c>
      <c r="M247" s="30"/>
      <c r="N247" s="30">
        <v>85.07</v>
      </c>
      <c r="O247" s="287">
        <f t="shared" si="67"/>
        <v>0</v>
      </c>
      <c r="P247" s="287">
        <f t="shared" si="68"/>
        <v>0</v>
      </c>
      <c r="Q247" s="288"/>
      <c r="R247" s="243"/>
      <c r="S247" s="378" t="str">
        <f t="shared" si="76"/>
        <v/>
      </c>
    </row>
    <row r="248" spans="2:19" hidden="1" x14ac:dyDescent="0.2">
      <c r="B248" s="730" t="s">
        <v>232</v>
      </c>
      <c r="C248" s="300" t="s">
        <v>207</v>
      </c>
      <c r="D248" s="383" t="s">
        <v>992</v>
      </c>
      <c r="E248" s="704"/>
      <c r="F248" s="661">
        <v>20</v>
      </c>
      <c r="G248" s="665">
        <v>0.14000000000000001</v>
      </c>
      <c r="H248" s="663">
        <f t="shared" si="87"/>
        <v>3.2452000000000001</v>
      </c>
      <c r="I248" s="380">
        <v>70.260000000000005</v>
      </c>
      <c r="J248" s="631">
        <f t="shared" si="88"/>
        <v>73.505200000000002</v>
      </c>
      <c r="K248" s="593">
        <f t="shared" si="78"/>
        <v>93.17</v>
      </c>
      <c r="L248" s="594" t="s">
        <v>18</v>
      </c>
      <c r="M248" s="30"/>
      <c r="N248" s="30">
        <v>93.17</v>
      </c>
      <c r="O248" s="287">
        <f t="shared" si="67"/>
        <v>0</v>
      </c>
      <c r="P248" s="287">
        <f t="shared" si="68"/>
        <v>0</v>
      </c>
      <c r="Q248" s="288"/>
      <c r="R248" s="243"/>
      <c r="S248" s="378" t="str">
        <f t="shared" si="76"/>
        <v/>
      </c>
    </row>
    <row r="249" spans="2:19" hidden="1" x14ac:dyDescent="0.2">
      <c r="B249" s="730" t="s">
        <v>169</v>
      </c>
      <c r="C249" s="300" t="s">
        <v>207</v>
      </c>
      <c r="D249" s="383" t="s">
        <v>993</v>
      </c>
      <c r="E249" s="704"/>
      <c r="F249" s="661">
        <v>20</v>
      </c>
      <c r="G249" s="665">
        <v>0.18</v>
      </c>
      <c r="H249" s="663">
        <f t="shared" si="87"/>
        <v>4.1723999999999997</v>
      </c>
      <c r="I249" s="380">
        <v>75.78</v>
      </c>
      <c r="J249" s="631">
        <f t="shared" si="88"/>
        <v>79.952399999999997</v>
      </c>
      <c r="K249" s="593">
        <f t="shared" si="78"/>
        <v>101.34</v>
      </c>
      <c r="L249" s="594" t="s">
        <v>18</v>
      </c>
      <c r="M249" s="30"/>
      <c r="N249" s="30">
        <v>101.34</v>
      </c>
      <c r="O249" s="287">
        <f t="shared" si="67"/>
        <v>0</v>
      </c>
      <c r="P249" s="287">
        <f t="shared" si="68"/>
        <v>0</v>
      </c>
      <c r="Q249" s="288"/>
      <c r="R249" s="243"/>
      <c r="S249" s="378" t="str">
        <f t="shared" si="76"/>
        <v/>
      </c>
    </row>
    <row r="250" spans="2:19" hidden="1" x14ac:dyDescent="0.2">
      <c r="B250" s="730" t="s">
        <v>170</v>
      </c>
      <c r="C250" s="300" t="s">
        <v>207</v>
      </c>
      <c r="D250" s="383" t="s">
        <v>994</v>
      </c>
      <c r="E250" s="704"/>
      <c r="F250" s="661">
        <v>20</v>
      </c>
      <c r="G250" s="665">
        <v>0.18</v>
      </c>
      <c r="H250" s="663">
        <f t="shared" si="87"/>
        <v>4.1723999999999997</v>
      </c>
      <c r="I250" s="380">
        <v>83.36</v>
      </c>
      <c r="J250" s="631">
        <f t="shared" si="88"/>
        <v>87.532399999999996</v>
      </c>
      <c r="K250" s="593">
        <f t="shared" si="78"/>
        <v>110.95</v>
      </c>
      <c r="L250" s="594" t="s">
        <v>18</v>
      </c>
      <c r="M250" s="30"/>
      <c r="N250" s="30">
        <v>110.95</v>
      </c>
      <c r="O250" s="287">
        <f t="shared" si="67"/>
        <v>0</v>
      </c>
      <c r="P250" s="287">
        <f t="shared" si="68"/>
        <v>0</v>
      </c>
      <c r="Q250" s="288"/>
      <c r="R250" s="243"/>
      <c r="S250" s="378" t="str">
        <f t="shared" si="76"/>
        <v/>
      </c>
    </row>
    <row r="251" spans="2:19" hidden="1" x14ac:dyDescent="0.2">
      <c r="B251" s="730" t="s">
        <v>171</v>
      </c>
      <c r="C251" s="300" t="s">
        <v>207</v>
      </c>
      <c r="D251" s="383" t="s">
        <v>995</v>
      </c>
      <c r="E251" s="704"/>
      <c r="F251" s="661">
        <v>20</v>
      </c>
      <c r="G251" s="665">
        <v>0.22</v>
      </c>
      <c r="H251" s="663">
        <f t="shared" si="87"/>
        <v>5.0995999999999997</v>
      </c>
      <c r="I251" s="380">
        <v>85.831689655172411</v>
      </c>
      <c r="J251" s="631">
        <f t="shared" si="88"/>
        <v>90.931289655172407</v>
      </c>
      <c r="K251" s="593">
        <f t="shared" si="78"/>
        <v>115.26</v>
      </c>
      <c r="L251" s="594" t="s">
        <v>18</v>
      </c>
      <c r="M251" s="30"/>
      <c r="N251" s="30">
        <v>115.26</v>
      </c>
      <c r="O251" s="287">
        <f t="shared" si="67"/>
        <v>0</v>
      </c>
      <c r="P251" s="287">
        <f t="shared" si="68"/>
        <v>0</v>
      </c>
      <c r="Q251" s="288"/>
      <c r="R251" s="243"/>
      <c r="S251" s="378" t="str">
        <f t="shared" si="76"/>
        <v/>
      </c>
    </row>
    <row r="252" spans="2:19" hidden="1" x14ac:dyDescent="0.2">
      <c r="B252" s="730" t="s">
        <v>233</v>
      </c>
      <c r="C252" s="300" t="s">
        <v>207</v>
      </c>
      <c r="D252" s="383" t="s">
        <v>996</v>
      </c>
      <c r="E252" s="704"/>
      <c r="F252" s="661">
        <v>20</v>
      </c>
      <c r="G252" s="665">
        <v>0.22</v>
      </c>
      <c r="H252" s="663">
        <f t="shared" si="87"/>
        <v>5.0995999999999997</v>
      </c>
      <c r="I252" s="380">
        <v>94.41</v>
      </c>
      <c r="J252" s="631">
        <f t="shared" si="88"/>
        <v>99.509599999999992</v>
      </c>
      <c r="K252" s="593">
        <f t="shared" si="78"/>
        <v>126.13</v>
      </c>
      <c r="L252" s="594" t="s">
        <v>18</v>
      </c>
      <c r="M252" s="30"/>
      <c r="N252" s="30">
        <v>126.13</v>
      </c>
      <c r="O252" s="287">
        <f t="shared" si="67"/>
        <v>0</v>
      </c>
      <c r="P252" s="287">
        <f t="shared" si="68"/>
        <v>0</v>
      </c>
      <c r="Q252" s="288"/>
      <c r="R252" s="243"/>
      <c r="S252" s="378" t="str">
        <f t="shared" si="76"/>
        <v/>
      </c>
    </row>
    <row r="253" spans="2:19" ht="13.5" hidden="1" thickBot="1" x14ac:dyDescent="0.25">
      <c r="B253" s="788" t="s">
        <v>1745</v>
      </c>
      <c r="C253" s="300" t="s">
        <v>817</v>
      </c>
      <c r="D253" s="751" t="s">
        <v>997</v>
      </c>
      <c r="E253" s="752"/>
      <c r="F253" s="779">
        <v>20</v>
      </c>
      <c r="G253" s="789">
        <v>0.3</v>
      </c>
      <c r="H253" s="790">
        <f t="shared" si="87"/>
        <v>6.9539999999999997</v>
      </c>
      <c r="I253" s="655">
        <v>161.44</v>
      </c>
      <c r="J253" s="645">
        <f>IF(ISBLANK(I253),"",SUM(H253:I253))</f>
        <v>168.39400000000001</v>
      </c>
      <c r="K253" s="593">
        <f t="shared" si="78"/>
        <v>213.44</v>
      </c>
      <c r="L253" s="594" t="s">
        <v>18</v>
      </c>
      <c r="M253" s="617"/>
      <c r="N253" s="618">
        <v>213.44</v>
      </c>
      <c r="O253" s="425">
        <f t="shared" si="67"/>
        <v>0</v>
      </c>
      <c r="P253" s="287">
        <f t="shared" si="68"/>
        <v>0</v>
      </c>
      <c r="Q253" s="288"/>
      <c r="R253" s="243"/>
      <c r="S253" s="378" t="str">
        <f t="shared" si="76"/>
        <v/>
      </c>
    </row>
    <row r="254" spans="2:19" hidden="1" x14ac:dyDescent="0.2">
      <c r="B254" s="791" t="s">
        <v>1757</v>
      </c>
      <c r="C254" s="711" t="s">
        <v>207</v>
      </c>
      <c r="D254" s="716" t="s">
        <v>790</v>
      </c>
      <c r="E254" s="717"/>
      <c r="F254" s="658" t="s">
        <v>791</v>
      </c>
      <c r="G254" s="659">
        <v>1.5E-3</v>
      </c>
      <c r="H254" s="660" t="e">
        <f>SUM(H255:H257)</f>
        <v>#VALUE!</v>
      </c>
      <c r="I254" s="656">
        <v>2.84</v>
      </c>
      <c r="J254" s="656" t="e">
        <f t="shared" ref="J254:J269" si="89">IF(ISBLANK(I254),"",SUM(H254:I254))</f>
        <v>#VALUE!</v>
      </c>
      <c r="K254" s="606" t="e">
        <f t="shared" si="78"/>
        <v>#VALUE!</v>
      </c>
      <c r="L254" s="648" t="s">
        <v>18</v>
      </c>
      <c r="M254" s="697"/>
      <c r="N254" s="698" t="e">
        <v>#VALUE!</v>
      </c>
      <c r="O254" s="379">
        <f t="shared" si="67"/>
        <v>0</v>
      </c>
      <c r="P254" s="424" t="e">
        <f t="shared" si="68"/>
        <v>#VALUE!</v>
      </c>
      <c r="Q254" s="288"/>
      <c r="R254" s="243"/>
      <c r="S254" s="378" t="e">
        <f t="shared" si="76"/>
        <v>#VALUE!</v>
      </c>
    </row>
    <row r="255" spans="2:19" hidden="1" x14ac:dyDescent="0.2">
      <c r="B255" s="730" t="s">
        <v>168</v>
      </c>
      <c r="C255" s="300"/>
      <c r="D255" s="755" t="s">
        <v>249</v>
      </c>
      <c r="E255" s="704"/>
      <c r="F255" s="661">
        <v>180</v>
      </c>
      <c r="G255" s="662" t="s">
        <v>86</v>
      </c>
      <c r="H255" s="663" t="e">
        <f t="shared" ref="H255:H257" si="90">IF(F255&lt;=30,(1.05*F255+2.18)*G255,((1.05*30+2.18)+0.87*(F255-30))*G255)</f>
        <v>#VALUE!</v>
      </c>
      <c r="I255" s="380">
        <v>0</v>
      </c>
      <c r="J255" s="380"/>
      <c r="K255" s="593">
        <f t="shared" si="78"/>
        <v>0</v>
      </c>
      <c r="L255" s="594" t="s">
        <v>755</v>
      </c>
      <c r="M255" s="699"/>
      <c r="N255" s="419">
        <v>0</v>
      </c>
      <c r="O255" s="287">
        <f t="shared" si="67"/>
        <v>0</v>
      </c>
      <c r="P255" s="384">
        <f t="shared" si="68"/>
        <v>0</v>
      </c>
      <c r="Q255" s="288"/>
      <c r="R255" s="311" t="e">
        <f>IF(P254&gt;0,"xy","")</f>
        <v>#VALUE!</v>
      </c>
      <c r="S255" s="378" t="e">
        <f t="shared" si="76"/>
        <v>#VALUE!</v>
      </c>
    </row>
    <row r="256" spans="2:19" hidden="1" x14ac:dyDescent="0.2">
      <c r="B256" s="730" t="s">
        <v>168</v>
      </c>
      <c r="C256" s="300"/>
      <c r="D256" s="755" t="s">
        <v>250</v>
      </c>
      <c r="E256" s="704"/>
      <c r="F256" s="661">
        <v>500</v>
      </c>
      <c r="G256" s="662" t="s">
        <v>87</v>
      </c>
      <c r="H256" s="664" t="e">
        <f>IF(F256&lt;=30,(0.51*F256+4.28)*G256,((0.51*30+4.28)+0.42*(F256-30))*G256)</f>
        <v>#VALUE!</v>
      </c>
      <c r="I256" s="380">
        <v>0</v>
      </c>
      <c r="J256" s="380"/>
      <c r="K256" s="593">
        <f t="shared" si="78"/>
        <v>0</v>
      </c>
      <c r="L256" s="594" t="s">
        <v>755</v>
      </c>
      <c r="M256" s="699"/>
      <c r="N256" s="419">
        <v>0</v>
      </c>
      <c r="O256" s="287">
        <f t="shared" si="67"/>
        <v>0</v>
      </c>
      <c r="P256" s="384">
        <f t="shared" si="68"/>
        <v>0</v>
      </c>
      <c r="Q256" s="288"/>
      <c r="R256" s="311" t="e">
        <f>IF(P254&gt;0,"xy","")</f>
        <v>#VALUE!</v>
      </c>
      <c r="S256" s="378" t="e">
        <f t="shared" si="76"/>
        <v>#VALUE!</v>
      </c>
    </row>
    <row r="257" spans="2:19" hidden="1" x14ac:dyDescent="0.2">
      <c r="B257" s="730" t="s">
        <v>168</v>
      </c>
      <c r="C257" s="300"/>
      <c r="D257" s="755" t="s">
        <v>251</v>
      </c>
      <c r="E257" s="704"/>
      <c r="F257" s="661">
        <v>20</v>
      </c>
      <c r="G257" s="665" t="s">
        <v>88</v>
      </c>
      <c r="H257" s="663" t="e">
        <f t="shared" si="90"/>
        <v>#VALUE!</v>
      </c>
      <c r="I257" s="380">
        <v>0</v>
      </c>
      <c r="J257" s="380"/>
      <c r="K257" s="593">
        <f t="shared" si="78"/>
        <v>0</v>
      </c>
      <c r="L257" s="594" t="s">
        <v>755</v>
      </c>
      <c r="M257" s="699"/>
      <c r="N257" s="419">
        <v>0</v>
      </c>
      <c r="O257" s="287">
        <f t="shared" si="67"/>
        <v>0</v>
      </c>
      <c r="P257" s="384">
        <f t="shared" si="68"/>
        <v>0</v>
      </c>
      <c r="Q257" s="288"/>
      <c r="R257" s="311" t="e">
        <f>IF(P254&gt;0,"xy","")</f>
        <v>#VALUE!</v>
      </c>
      <c r="S257" s="378" t="e">
        <f t="shared" si="76"/>
        <v>#VALUE!</v>
      </c>
    </row>
    <row r="258" spans="2:19" ht="13.5" hidden="1" thickBot="1" x14ac:dyDescent="0.25">
      <c r="B258" s="761" t="s">
        <v>1956</v>
      </c>
      <c r="C258" s="753" t="s">
        <v>1947</v>
      </c>
      <c r="D258" s="712" t="s">
        <v>935</v>
      </c>
      <c r="E258" s="718"/>
      <c r="F258" s="666">
        <v>500</v>
      </c>
      <c r="G258" s="667">
        <v>1</v>
      </c>
      <c r="H258" s="663">
        <f>(0.74*F258+36.12)*G258</f>
        <v>406.12</v>
      </c>
      <c r="I258" s="657">
        <v>4654.68</v>
      </c>
      <c r="J258" s="657">
        <f>IF(ISBLANK(I258),"",I258*(1+$F$9)/(1+$F$10))+H258</f>
        <v>4847.0703147928998</v>
      </c>
      <c r="K258" s="619">
        <f t="shared" si="78"/>
        <v>6143.66</v>
      </c>
      <c r="L258" s="649" t="s">
        <v>20</v>
      </c>
      <c r="M258" s="695">
        <f>ROUND(M254*G254,2)</f>
        <v>0</v>
      </c>
      <c r="N258" s="700">
        <v>6143.66</v>
      </c>
      <c r="O258" s="425">
        <f t="shared" si="67"/>
        <v>0</v>
      </c>
      <c r="P258" s="426">
        <f t="shared" si="68"/>
        <v>0</v>
      </c>
      <c r="Q258" s="288"/>
      <c r="R258" s="311" t="str">
        <f>IF(P141&gt;0,"xy","")</f>
        <v/>
      </c>
      <c r="S258" s="378" t="str">
        <f t="shared" si="76"/>
        <v/>
      </c>
    </row>
    <row r="259" spans="2:19" hidden="1" x14ac:dyDescent="0.2">
      <c r="B259" s="791" t="s">
        <v>1758</v>
      </c>
      <c r="C259" s="711" t="s">
        <v>207</v>
      </c>
      <c r="D259" s="716" t="s">
        <v>793</v>
      </c>
      <c r="E259" s="717"/>
      <c r="F259" s="658" t="s">
        <v>791</v>
      </c>
      <c r="G259" s="659">
        <v>1.8E-3</v>
      </c>
      <c r="H259" s="660" t="e">
        <f>SUM(H260:H262)</f>
        <v>#VALUE!</v>
      </c>
      <c r="I259" s="656">
        <v>2.84</v>
      </c>
      <c r="J259" s="656" t="e">
        <f t="shared" si="89"/>
        <v>#VALUE!</v>
      </c>
      <c r="K259" s="606" t="e">
        <f t="shared" si="78"/>
        <v>#VALUE!</v>
      </c>
      <c r="L259" s="648" t="s">
        <v>18</v>
      </c>
      <c r="M259" s="697"/>
      <c r="N259" s="698" t="e">
        <v>#VALUE!</v>
      </c>
      <c r="O259" s="423">
        <f t="shared" si="67"/>
        <v>0</v>
      </c>
      <c r="P259" s="424" t="e">
        <f t="shared" si="68"/>
        <v>#VALUE!</v>
      </c>
      <c r="Q259" s="288"/>
      <c r="R259" s="243"/>
      <c r="S259" s="378" t="e">
        <f t="shared" si="76"/>
        <v>#VALUE!</v>
      </c>
    </row>
    <row r="260" spans="2:19" hidden="1" x14ac:dyDescent="0.2">
      <c r="B260" s="730" t="s">
        <v>168</v>
      </c>
      <c r="C260" s="300"/>
      <c r="D260" s="755" t="s">
        <v>249</v>
      </c>
      <c r="E260" s="704"/>
      <c r="F260" s="661">
        <v>180</v>
      </c>
      <c r="G260" s="662" t="s">
        <v>89</v>
      </c>
      <c r="H260" s="663" t="e">
        <f t="shared" ref="H260:H262" si="91">IF(F260&lt;=30,(1.05*F260+2.18)*G260,((1.05*30+2.18)+0.87*(F260-30))*G260)</f>
        <v>#VALUE!</v>
      </c>
      <c r="I260" s="380">
        <v>0</v>
      </c>
      <c r="J260" s="380"/>
      <c r="K260" s="593">
        <f t="shared" si="78"/>
        <v>0</v>
      </c>
      <c r="L260" s="594" t="s">
        <v>755</v>
      </c>
      <c r="M260" s="699"/>
      <c r="N260" s="419">
        <v>0</v>
      </c>
      <c r="O260" s="287">
        <f t="shared" si="67"/>
        <v>0</v>
      </c>
      <c r="P260" s="384">
        <f t="shared" si="68"/>
        <v>0</v>
      </c>
      <c r="Q260" s="288"/>
      <c r="R260" s="311" t="e">
        <f>IF(P259&gt;0,"xy","")</f>
        <v>#VALUE!</v>
      </c>
      <c r="S260" s="378" t="e">
        <f t="shared" si="76"/>
        <v>#VALUE!</v>
      </c>
    </row>
    <row r="261" spans="2:19" hidden="1" x14ac:dyDescent="0.2">
      <c r="B261" s="730" t="s">
        <v>168</v>
      </c>
      <c r="C261" s="300"/>
      <c r="D261" s="755" t="s">
        <v>250</v>
      </c>
      <c r="E261" s="704"/>
      <c r="F261" s="661">
        <v>500</v>
      </c>
      <c r="G261" s="662" t="s">
        <v>90</v>
      </c>
      <c r="H261" s="664" t="e">
        <f>IF(F261&lt;=30,(0.51*F261+4.28)*G261,((0.51*30+4.28)+0.42*(F261-30))*G261)</f>
        <v>#VALUE!</v>
      </c>
      <c r="I261" s="380">
        <v>0</v>
      </c>
      <c r="J261" s="380"/>
      <c r="K261" s="593">
        <f t="shared" si="78"/>
        <v>0</v>
      </c>
      <c r="L261" s="594" t="s">
        <v>755</v>
      </c>
      <c r="M261" s="699"/>
      <c r="N261" s="419">
        <v>0</v>
      </c>
      <c r="O261" s="287">
        <f t="shared" si="67"/>
        <v>0</v>
      </c>
      <c r="P261" s="384">
        <f t="shared" si="68"/>
        <v>0</v>
      </c>
      <c r="Q261" s="288"/>
      <c r="R261" s="311" t="e">
        <f>IF(P259&gt;0,"xy","")</f>
        <v>#VALUE!</v>
      </c>
      <c r="S261" s="378" t="e">
        <f t="shared" si="76"/>
        <v>#VALUE!</v>
      </c>
    </row>
    <row r="262" spans="2:19" hidden="1" x14ac:dyDescent="0.2">
      <c r="B262" s="730" t="s">
        <v>168</v>
      </c>
      <c r="C262" s="300"/>
      <c r="D262" s="417" t="s">
        <v>251</v>
      </c>
      <c r="E262" s="704"/>
      <c r="F262" s="661">
        <v>20</v>
      </c>
      <c r="G262" s="665" t="s">
        <v>88</v>
      </c>
      <c r="H262" s="663" t="e">
        <f t="shared" si="91"/>
        <v>#VALUE!</v>
      </c>
      <c r="I262" s="380">
        <v>0</v>
      </c>
      <c r="J262" s="380"/>
      <c r="K262" s="593">
        <f t="shared" si="78"/>
        <v>0</v>
      </c>
      <c r="L262" s="594" t="s">
        <v>755</v>
      </c>
      <c r="M262" s="699"/>
      <c r="N262" s="419">
        <v>0</v>
      </c>
      <c r="O262" s="287">
        <f t="shared" si="67"/>
        <v>0</v>
      </c>
      <c r="P262" s="384">
        <f t="shared" si="68"/>
        <v>0</v>
      </c>
      <c r="Q262" s="288"/>
      <c r="R262" s="311" t="e">
        <f>IF(P259&gt;0,"xy","")</f>
        <v>#VALUE!</v>
      </c>
      <c r="S262" s="378" t="e">
        <f t="shared" si="76"/>
        <v>#VALUE!</v>
      </c>
    </row>
    <row r="263" spans="2:19" ht="13.5" hidden="1" thickBot="1" x14ac:dyDescent="0.25">
      <c r="B263" s="792" t="s">
        <v>1957</v>
      </c>
      <c r="C263" s="793" t="s">
        <v>1947</v>
      </c>
      <c r="D263" s="756" t="s">
        <v>936</v>
      </c>
      <c r="E263" s="757"/>
      <c r="F263" s="666">
        <v>500</v>
      </c>
      <c r="G263" s="667">
        <v>1</v>
      </c>
      <c r="H263" s="663">
        <f>(0.74*F263+36.12)*G263</f>
        <v>406.12</v>
      </c>
      <c r="I263" s="669">
        <v>4654.68</v>
      </c>
      <c r="J263" s="657">
        <f>IF(ISBLANK(I263),"",I263*(1+$F$9)/(1+$F$10))+H263</f>
        <v>4847.0703147928998</v>
      </c>
      <c r="K263" s="613">
        <f t="shared" si="78"/>
        <v>6143.66</v>
      </c>
      <c r="L263" s="649" t="s">
        <v>20</v>
      </c>
      <c r="M263" s="695">
        <f>ROUND(M259*G259,2)</f>
        <v>0</v>
      </c>
      <c r="N263" s="700">
        <v>6143.66</v>
      </c>
      <c r="O263" s="425">
        <f t="shared" si="67"/>
        <v>0</v>
      </c>
      <c r="P263" s="426">
        <f t="shared" si="68"/>
        <v>0</v>
      </c>
      <c r="Q263" s="288"/>
      <c r="R263" s="311" t="str">
        <f>IF(P141&gt;0,"xy","")</f>
        <v/>
      </c>
      <c r="S263" s="378" t="str">
        <f t="shared" si="76"/>
        <v/>
      </c>
    </row>
    <row r="264" spans="2:19" hidden="1" x14ac:dyDescent="0.2">
      <c r="B264" s="791" t="s">
        <v>1759</v>
      </c>
      <c r="C264" s="711" t="s">
        <v>207</v>
      </c>
      <c r="D264" s="716" t="s">
        <v>794</v>
      </c>
      <c r="E264" s="717"/>
      <c r="F264" s="658" t="s">
        <v>791</v>
      </c>
      <c r="G264" s="659">
        <v>2E-3</v>
      </c>
      <c r="H264" s="660" t="e">
        <f>SUM(H265:H267)</f>
        <v>#VALUE!</v>
      </c>
      <c r="I264" s="656">
        <v>3.78</v>
      </c>
      <c r="J264" s="656" t="e">
        <f t="shared" si="89"/>
        <v>#VALUE!</v>
      </c>
      <c r="K264" s="606" t="e">
        <f t="shared" si="78"/>
        <v>#VALUE!</v>
      </c>
      <c r="L264" s="648" t="s">
        <v>18</v>
      </c>
      <c r="M264" s="697"/>
      <c r="N264" s="698" t="e">
        <v>#VALUE!</v>
      </c>
      <c r="O264" s="423">
        <f t="shared" si="67"/>
        <v>0</v>
      </c>
      <c r="P264" s="424" t="e">
        <f t="shared" si="68"/>
        <v>#VALUE!</v>
      </c>
      <c r="Q264" s="288"/>
      <c r="R264" s="243"/>
      <c r="S264" s="378" t="e">
        <f t="shared" si="76"/>
        <v>#VALUE!</v>
      </c>
    </row>
    <row r="265" spans="2:19" hidden="1" x14ac:dyDescent="0.2">
      <c r="B265" s="730" t="s">
        <v>168</v>
      </c>
      <c r="C265" s="300"/>
      <c r="D265" s="755" t="s">
        <v>249</v>
      </c>
      <c r="E265" s="704"/>
      <c r="F265" s="661">
        <v>180</v>
      </c>
      <c r="G265" s="662" t="s">
        <v>91</v>
      </c>
      <c r="H265" s="663" t="e">
        <f t="shared" ref="H265:H267" si="92">IF(F265&lt;=30,(1.05*F265+2.18)*G265,((1.05*30+2.18)+0.87*(F265-30))*G265)</f>
        <v>#VALUE!</v>
      </c>
      <c r="I265" s="380">
        <v>0</v>
      </c>
      <c r="J265" s="380"/>
      <c r="K265" s="593">
        <f t="shared" si="78"/>
        <v>0</v>
      </c>
      <c r="L265" s="594" t="s">
        <v>755</v>
      </c>
      <c r="M265" s="699"/>
      <c r="N265" s="419">
        <v>0</v>
      </c>
      <c r="O265" s="287">
        <f t="shared" si="67"/>
        <v>0</v>
      </c>
      <c r="P265" s="384">
        <f t="shared" si="68"/>
        <v>0</v>
      </c>
      <c r="Q265" s="288"/>
      <c r="R265" s="311" t="e">
        <f>IF(P264&gt;0,"xy","")</f>
        <v>#VALUE!</v>
      </c>
      <c r="S265" s="378" t="e">
        <f t="shared" si="76"/>
        <v>#VALUE!</v>
      </c>
    </row>
    <row r="266" spans="2:19" hidden="1" x14ac:dyDescent="0.2">
      <c r="B266" s="730" t="s">
        <v>168</v>
      </c>
      <c r="C266" s="300"/>
      <c r="D266" s="755" t="s">
        <v>250</v>
      </c>
      <c r="E266" s="704"/>
      <c r="F266" s="661">
        <v>500</v>
      </c>
      <c r="G266" s="662" t="s">
        <v>90</v>
      </c>
      <c r="H266" s="664" t="e">
        <f>IF(F266&lt;=30,(0.51*F266+4.28)*G266,((0.51*30+4.28)+0.42*(F266-30))*G266)</f>
        <v>#VALUE!</v>
      </c>
      <c r="I266" s="380">
        <v>0</v>
      </c>
      <c r="J266" s="380"/>
      <c r="K266" s="593">
        <f t="shared" si="78"/>
        <v>0</v>
      </c>
      <c r="L266" s="594" t="s">
        <v>755</v>
      </c>
      <c r="M266" s="699"/>
      <c r="N266" s="419">
        <v>0</v>
      </c>
      <c r="O266" s="287">
        <f t="shared" si="67"/>
        <v>0</v>
      </c>
      <c r="P266" s="384">
        <f t="shared" si="68"/>
        <v>0</v>
      </c>
      <c r="Q266" s="288"/>
      <c r="R266" s="311" t="e">
        <f>IF(P264&gt;0,"xy","")</f>
        <v>#VALUE!</v>
      </c>
      <c r="S266" s="378" t="e">
        <f t="shared" si="76"/>
        <v>#VALUE!</v>
      </c>
    </row>
    <row r="267" spans="2:19" hidden="1" x14ac:dyDescent="0.2">
      <c r="B267" s="730" t="s">
        <v>168</v>
      </c>
      <c r="C267" s="300"/>
      <c r="D267" s="417" t="s">
        <v>251</v>
      </c>
      <c r="E267" s="704"/>
      <c r="F267" s="661">
        <v>20</v>
      </c>
      <c r="G267" s="665" t="s">
        <v>92</v>
      </c>
      <c r="H267" s="663" t="e">
        <f t="shared" si="92"/>
        <v>#VALUE!</v>
      </c>
      <c r="I267" s="380">
        <v>0</v>
      </c>
      <c r="J267" s="380"/>
      <c r="K267" s="593">
        <f t="shared" si="78"/>
        <v>0</v>
      </c>
      <c r="L267" s="594" t="s">
        <v>755</v>
      </c>
      <c r="M267" s="699"/>
      <c r="N267" s="419">
        <v>0</v>
      </c>
      <c r="O267" s="287">
        <f t="shared" si="67"/>
        <v>0</v>
      </c>
      <c r="P267" s="384">
        <f t="shared" si="68"/>
        <v>0</v>
      </c>
      <c r="Q267" s="288"/>
      <c r="R267" s="311" t="e">
        <f>IF(P264&gt;0,"xy","")</f>
        <v>#VALUE!</v>
      </c>
      <c r="S267" s="378" t="e">
        <f t="shared" si="76"/>
        <v>#VALUE!</v>
      </c>
    </row>
    <row r="268" spans="2:19" ht="13.5" hidden="1" thickBot="1" x14ac:dyDescent="0.25">
      <c r="B268" s="792" t="s">
        <v>1958</v>
      </c>
      <c r="C268" s="793" t="s">
        <v>1947</v>
      </c>
      <c r="D268" s="756" t="s">
        <v>937</v>
      </c>
      <c r="E268" s="757"/>
      <c r="F268" s="666">
        <v>500</v>
      </c>
      <c r="G268" s="667">
        <v>1</v>
      </c>
      <c r="H268" s="663">
        <f>(0.74*F268+36.12)*G268</f>
        <v>406.12</v>
      </c>
      <c r="I268" s="669">
        <v>4654.68</v>
      </c>
      <c r="J268" s="657">
        <f>IF(ISBLANK(I268),"",I268*(1+$F$9)/(1+$F$10))+H268</f>
        <v>4847.0703147928998</v>
      </c>
      <c r="K268" s="613">
        <f t="shared" si="78"/>
        <v>6143.66</v>
      </c>
      <c r="L268" s="649" t="s">
        <v>20</v>
      </c>
      <c r="M268" s="695">
        <f>ROUND(M264*G264,2)</f>
        <v>0</v>
      </c>
      <c r="N268" s="700">
        <v>6143.66</v>
      </c>
      <c r="O268" s="425">
        <f t="shared" si="67"/>
        <v>0</v>
      </c>
      <c r="P268" s="426">
        <f t="shared" si="68"/>
        <v>0</v>
      </c>
      <c r="Q268" s="288"/>
      <c r="R268" s="311" t="str">
        <f>IF(P146&gt;0,"xy","")</f>
        <v/>
      </c>
      <c r="S268" s="378" t="str">
        <f t="shared" si="76"/>
        <v/>
      </c>
    </row>
    <row r="269" spans="2:19" hidden="1" x14ac:dyDescent="0.2">
      <c r="B269" s="791" t="s">
        <v>1760</v>
      </c>
      <c r="C269" s="711" t="s">
        <v>207</v>
      </c>
      <c r="D269" s="716" t="s">
        <v>792</v>
      </c>
      <c r="E269" s="717"/>
      <c r="F269" s="658" t="s">
        <v>791</v>
      </c>
      <c r="G269" s="659">
        <v>2.5999999999999999E-3</v>
      </c>
      <c r="H269" s="660" t="e">
        <f>SUM(H270:H272)</f>
        <v>#VALUE!</v>
      </c>
      <c r="I269" s="656">
        <v>3.78</v>
      </c>
      <c r="J269" s="656" t="e">
        <f t="shared" si="89"/>
        <v>#VALUE!</v>
      </c>
      <c r="K269" s="606" t="e">
        <f t="shared" si="78"/>
        <v>#VALUE!</v>
      </c>
      <c r="L269" s="648" t="s">
        <v>18</v>
      </c>
      <c r="M269" s="697"/>
      <c r="N269" s="698" t="e">
        <v>#VALUE!</v>
      </c>
      <c r="O269" s="423">
        <f t="shared" si="67"/>
        <v>0</v>
      </c>
      <c r="P269" s="424" t="e">
        <f t="shared" si="68"/>
        <v>#VALUE!</v>
      </c>
      <c r="Q269" s="288"/>
      <c r="R269" s="243"/>
      <c r="S269" s="378" t="e">
        <f t="shared" si="76"/>
        <v>#VALUE!</v>
      </c>
    </row>
    <row r="270" spans="2:19" hidden="1" x14ac:dyDescent="0.2">
      <c r="B270" s="730" t="s">
        <v>168</v>
      </c>
      <c r="C270" s="300"/>
      <c r="D270" s="755" t="s">
        <v>249</v>
      </c>
      <c r="E270" s="704"/>
      <c r="F270" s="661">
        <v>180</v>
      </c>
      <c r="G270" s="662" t="s">
        <v>93</v>
      </c>
      <c r="H270" s="663" t="e">
        <f t="shared" ref="H270:H272" si="93">IF(F270&lt;=30,(1.05*F270+2.18)*G270,((1.05*30+2.18)+0.87*(F270-30))*G270)</f>
        <v>#VALUE!</v>
      </c>
      <c r="I270" s="380">
        <v>0</v>
      </c>
      <c r="J270" s="380"/>
      <c r="K270" s="593">
        <f t="shared" si="78"/>
        <v>0</v>
      </c>
      <c r="L270" s="594" t="s">
        <v>755</v>
      </c>
      <c r="M270" s="699"/>
      <c r="N270" s="419">
        <v>0</v>
      </c>
      <c r="O270" s="287">
        <f t="shared" si="67"/>
        <v>0</v>
      </c>
      <c r="P270" s="384">
        <f t="shared" si="68"/>
        <v>0</v>
      </c>
      <c r="Q270" s="288"/>
      <c r="R270" s="311" t="e">
        <f>IF(P269&gt;0,"xy","")</f>
        <v>#VALUE!</v>
      </c>
      <c r="S270" s="378" t="e">
        <f t="shared" si="76"/>
        <v>#VALUE!</v>
      </c>
    </row>
    <row r="271" spans="2:19" hidden="1" x14ac:dyDescent="0.2">
      <c r="B271" s="730" t="s">
        <v>168</v>
      </c>
      <c r="C271" s="300"/>
      <c r="D271" s="755" t="s">
        <v>250</v>
      </c>
      <c r="E271" s="704"/>
      <c r="F271" s="661">
        <v>500</v>
      </c>
      <c r="G271" s="662" t="s">
        <v>94</v>
      </c>
      <c r="H271" s="664" t="e">
        <f>IF(F271&lt;=30,(0.51*F271+4.28)*G271,((0.51*30+4.28)+0.42*(F271-30))*G271)</f>
        <v>#VALUE!</v>
      </c>
      <c r="I271" s="380">
        <v>0</v>
      </c>
      <c r="J271" s="380"/>
      <c r="K271" s="593">
        <f t="shared" si="78"/>
        <v>0</v>
      </c>
      <c r="L271" s="594" t="s">
        <v>755</v>
      </c>
      <c r="M271" s="699"/>
      <c r="N271" s="419">
        <v>0</v>
      </c>
      <c r="O271" s="287">
        <f t="shared" si="67"/>
        <v>0</v>
      </c>
      <c r="P271" s="384">
        <f t="shared" si="68"/>
        <v>0</v>
      </c>
      <c r="Q271" s="288"/>
      <c r="R271" s="311" t="e">
        <f>IF(P269&gt;0,"xy","")</f>
        <v>#VALUE!</v>
      </c>
      <c r="S271" s="378" t="e">
        <f t="shared" si="76"/>
        <v>#VALUE!</v>
      </c>
    </row>
    <row r="272" spans="2:19" hidden="1" x14ac:dyDescent="0.2">
      <c r="B272" s="730" t="s">
        <v>168</v>
      </c>
      <c r="C272" s="300"/>
      <c r="D272" s="417" t="s">
        <v>251</v>
      </c>
      <c r="E272" s="704"/>
      <c r="F272" s="661">
        <v>20</v>
      </c>
      <c r="G272" s="665" t="s">
        <v>95</v>
      </c>
      <c r="H272" s="663" t="e">
        <f t="shared" si="93"/>
        <v>#VALUE!</v>
      </c>
      <c r="I272" s="380">
        <v>0</v>
      </c>
      <c r="J272" s="380"/>
      <c r="K272" s="593">
        <f t="shared" si="78"/>
        <v>0</v>
      </c>
      <c r="L272" s="594" t="s">
        <v>755</v>
      </c>
      <c r="M272" s="699"/>
      <c r="N272" s="419">
        <v>0</v>
      </c>
      <c r="O272" s="287">
        <f t="shared" si="67"/>
        <v>0</v>
      </c>
      <c r="P272" s="384">
        <f t="shared" si="68"/>
        <v>0</v>
      </c>
      <c r="Q272" s="288"/>
      <c r="R272" s="311" t="e">
        <f>IF(P269&gt;0,"xy","")</f>
        <v>#VALUE!</v>
      </c>
      <c r="S272" s="378" t="e">
        <f t="shared" si="76"/>
        <v>#VALUE!</v>
      </c>
    </row>
    <row r="273" spans="2:19" ht="13.5" hidden="1" thickBot="1" x14ac:dyDescent="0.25">
      <c r="B273" s="794" t="s">
        <v>1959</v>
      </c>
      <c r="C273" s="753" t="s">
        <v>1947</v>
      </c>
      <c r="D273" s="758" t="s">
        <v>938</v>
      </c>
      <c r="E273" s="720"/>
      <c r="F273" s="666">
        <v>500</v>
      </c>
      <c r="G273" s="667">
        <v>1</v>
      </c>
      <c r="H273" s="663">
        <f>(0.74*F273+36.12)*G273</f>
        <v>406.12</v>
      </c>
      <c r="I273" s="670">
        <v>4654.68</v>
      </c>
      <c r="J273" s="657">
        <f>IF(ISBLANK(I273),"",I273*(1+$F$9)/(1+$F$10))+H273</f>
        <v>4847.0703147928998</v>
      </c>
      <c r="K273" s="650">
        <f t="shared" si="78"/>
        <v>6143.66</v>
      </c>
      <c r="L273" s="649" t="s">
        <v>20</v>
      </c>
      <c r="M273" s="695">
        <f>ROUND(M269*G269,2)</f>
        <v>0</v>
      </c>
      <c r="N273" s="700">
        <v>6143.66</v>
      </c>
      <c r="O273" s="425">
        <f t="shared" si="67"/>
        <v>0</v>
      </c>
      <c r="P273" s="426">
        <f t="shared" si="68"/>
        <v>0</v>
      </c>
      <c r="Q273" s="288"/>
      <c r="R273" s="311" t="str">
        <f>IF(P151&gt;0,"xy","")</f>
        <v/>
      </c>
      <c r="S273" s="378" t="str">
        <f t="shared" si="76"/>
        <v/>
      </c>
    </row>
    <row r="274" spans="2:19" hidden="1" x14ac:dyDescent="0.2">
      <c r="B274" s="791">
        <v>587000</v>
      </c>
      <c r="C274" s="711" t="s">
        <v>207</v>
      </c>
      <c r="D274" s="716" t="s">
        <v>252</v>
      </c>
      <c r="E274" s="717"/>
      <c r="F274" s="658" t="s">
        <v>803</v>
      </c>
      <c r="G274" s="659">
        <v>1.5E-3</v>
      </c>
      <c r="H274" s="660">
        <f>SUM(H275:H275)</f>
        <v>0.23174999999999998</v>
      </c>
      <c r="I274" s="656">
        <v>4.07</v>
      </c>
      <c r="J274" s="656">
        <f t="shared" ref="J274:J301" si="94">IF(ISBLANK(I274),"",SUM(H274:I274))</f>
        <v>4.3017500000000002</v>
      </c>
      <c r="K274" s="606">
        <f t="shared" si="78"/>
        <v>5.45</v>
      </c>
      <c r="L274" s="648" t="s">
        <v>18</v>
      </c>
      <c r="M274" s="697"/>
      <c r="N274" s="698">
        <v>5.45</v>
      </c>
      <c r="O274" s="423">
        <f t="shared" si="67"/>
        <v>0</v>
      </c>
      <c r="P274" s="424">
        <f t="shared" si="68"/>
        <v>0</v>
      </c>
      <c r="Q274" s="288"/>
      <c r="R274" s="243"/>
      <c r="S274" s="378" t="str">
        <f t="shared" si="76"/>
        <v/>
      </c>
    </row>
    <row r="275" spans="2:19" hidden="1" x14ac:dyDescent="0.2">
      <c r="B275" s="730" t="s">
        <v>168</v>
      </c>
      <c r="C275" s="300"/>
      <c r="D275" s="417" t="s">
        <v>253</v>
      </c>
      <c r="E275" s="704"/>
      <c r="F275" s="671">
        <v>20</v>
      </c>
      <c r="G275" s="701">
        <v>1.4999999999999999E-2</v>
      </c>
      <c r="H275" s="663">
        <f t="shared" ref="H275" si="95">IF(F275&lt;=30,(0.7*F275+1.45)*G275,((0.7*30+1.45)+0.58*(F275-30))*G275)</f>
        <v>0.23174999999999998</v>
      </c>
      <c r="I275" s="380">
        <v>0</v>
      </c>
      <c r="J275" s="380"/>
      <c r="K275" s="593">
        <f t="shared" si="78"/>
        <v>0</v>
      </c>
      <c r="L275" s="594" t="s">
        <v>755</v>
      </c>
      <c r="M275" s="699"/>
      <c r="N275" s="419">
        <v>0</v>
      </c>
      <c r="O275" s="287">
        <f t="shared" si="67"/>
        <v>0</v>
      </c>
      <c r="P275" s="384">
        <f t="shared" si="68"/>
        <v>0</v>
      </c>
      <c r="Q275" s="288"/>
      <c r="R275" s="311" t="str">
        <f>IF(P274&gt;0,"xy","")</f>
        <v/>
      </c>
      <c r="S275" s="378" t="str">
        <f t="shared" si="76"/>
        <v/>
      </c>
    </row>
    <row r="276" spans="2:19" ht="13.5" hidden="1" thickBot="1" x14ac:dyDescent="0.25">
      <c r="B276" s="761" t="s">
        <v>1960</v>
      </c>
      <c r="C276" s="753" t="s">
        <v>1947</v>
      </c>
      <c r="D276" s="712" t="s">
        <v>939</v>
      </c>
      <c r="E276" s="718"/>
      <c r="F276" s="666">
        <v>500</v>
      </c>
      <c r="G276" s="667">
        <v>1</v>
      </c>
      <c r="H276" s="663">
        <f>(0.74*F276+36.12)*G276</f>
        <v>406.12</v>
      </c>
      <c r="I276" s="657">
        <v>4925.2</v>
      </c>
      <c r="J276" s="657">
        <f>IF(ISBLANK(I276),"",I276*(1+$F$9)/(1+$F$10))+H276</f>
        <v>5105.1688047337275</v>
      </c>
      <c r="K276" s="619">
        <f t="shared" si="78"/>
        <v>6470.8</v>
      </c>
      <c r="L276" s="649" t="s">
        <v>20</v>
      </c>
      <c r="M276" s="695">
        <f>ROUND(M274*G274,2)</f>
        <v>0</v>
      </c>
      <c r="N276" s="702">
        <v>6470.8</v>
      </c>
      <c r="O276" s="425">
        <f t="shared" si="67"/>
        <v>0</v>
      </c>
      <c r="P276" s="426">
        <f t="shared" si="68"/>
        <v>0</v>
      </c>
      <c r="Q276" s="288"/>
      <c r="R276" s="311" t="str">
        <f>IF(P141&gt;0,"xy","")</f>
        <v/>
      </c>
      <c r="S276" s="378" t="str">
        <f t="shared" si="76"/>
        <v/>
      </c>
    </row>
    <row r="277" spans="2:19" hidden="1" x14ac:dyDescent="0.2">
      <c r="B277" s="791" t="s">
        <v>1807</v>
      </c>
      <c r="C277" s="711" t="s">
        <v>207</v>
      </c>
      <c r="D277" s="713" t="s">
        <v>254</v>
      </c>
      <c r="E277" s="717"/>
      <c r="F277" s="658" t="s">
        <v>803</v>
      </c>
      <c r="G277" s="659">
        <v>3.0999999999999999E-3</v>
      </c>
      <c r="H277" s="660">
        <f>SUM(H278:H278)</f>
        <v>0.60963400000000001</v>
      </c>
      <c r="I277" s="656">
        <v>6.0500000000000007</v>
      </c>
      <c r="J277" s="656">
        <f t="shared" si="94"/>
        <v>6.6596340000000005</v>
      </c>
      <c r="K277" s="606">
        <f t="shared" si="78"/>
        <v>8.44</v>
      </c>
      <c r="L277" s="648" t="s">
        <v>18</v>
      </c>
      <c r="M277" s="697"/>
      <c r="N277" s="698">
        <v>8.44</v>
      </c>
      <c r="O277" s="423">
        <f t="shared" si="67"/>
        <v>0</v>
      </c>
      <c r="P277" s="424">
        <f t="shared" si="68"/>
        <v>0</v>
      </c>
      <c r="Q277" s="288"/>
      <c r="R277" s="243"/>
      <c r="S277" s="378" t="str">
        <f t="shared" si="76"/>
        <v/>
      </c>
    </row>
    <row r="278" spans="2:19" hidden="1" x14ac:dyDescent="0.2">
      <c r="B278" s="730" t="s">
        <v>168</v>
      </c>
      <c r="C278" s="300"/>
      <c r="D278" s="417" t="s">
        <v>253</v>
      </c>
      <c r="E278" s="704"/>
      <c r="F278" s="671">
        <v>20</v>
      </c>
      <c r="G278" s="665">
        <v>2.63E-2</v>
      </c>
      <c r="H278" s="663">
        <f t="shared" ref="H278" si="96">IF(F278&lt;=30,(1.05*F278+2.18)*G278,((1.05*30+2.18)+0.87*(F278-30))*G278)</f>
        <v>0.60963400000000001</v>
      </c>
      <c r="I278" s="380">
        <v>0</v>
      </c>
      <c r="J278" s="380"/>
      <c r="K278" s="593">
        <f t="shared" si="78"/>
        <v>0</v>
      </c>
      <c r="L278" s="594" t="s">
        <v>755</v>
      </c>
      <c r="M278" s="699"/>
      <c r="N278" s="419">
        <v>0</v>
      </c>
      <c r="O278" s="287">
        <f t="shared" si="67"/>
        <v>0</v>
      </c>
      <c r="P278" s="384">
        <f t="shared" si="68"/>
        <v>0</v>
      </c>
      <c r="Q278" s="288"/>
      <c r="R278" s="311" t="str">
        <f>IF(P277&gt;0,"xy","")</f>
        <v/>
      </c>
      <c r="S278" s="378" t="str">
        <f t="shared" si="76"/>
        <v/>
      </c>
    </row>
    <row r="279" spans="2:19" ht="13.5" hidden="1" thickBot="1" x14ac:dyDescent="0.25">
      <c r="B279" s="761" t="s">
        <v>1961</v>
      </c>
      <c r="C279" s="753" t="s">
        <v>1947</v>
      </c>
      <c r="D279" s="712" t="s">
        <v>940</v>
      </c>
      <c r="E279" s="718"/>
      <c r="F279" s="666">
        <v>500</v>
      </c>
      <c r="G279" s="667">
        <v>1</v>
      </c>
      <c r="H279" s="663">
        <f>(0.74*F279+36.12)*G279</f>
        <v>406.12</v>
      </c>
      <c r="I279" s="657">
        <v>4925.2</v>
      </c>
      <c r="J279" s="657">
        <f>IF(ISBLANK(I279),"",I279*(1+$F$9)/(1+$F$10))+H279</f>
        <v>5105.1688047337275</v>
      </c>
      <c r="K279" s="619">
        <f t="shared" si="78"/>
        <v>6470.8</v>
      </c>
      <c r="L279" s="649" t="s">
        <v>20</v>
      </c>
      <c r="M279" s="695">
        <f>ROUND(M277*G277,2)</f>
        <v>0</v>
      </c>
      <c r="N279" s="702">
        <v>6470.8</v>
      </c>
      <c r="O279" s="425">
        <f t="shared" si="67"/>
        <v>0</v>
      </c>
      <c r="P279" s="426">
        <f t="shared" si="68"/>
        <v>0</v>
      </c>
      <c r="Q279" s="288"/>
      <c r="R279" s="311" t="str">
        <f>IF(P141&gt;0,"xy","")</f>
        <v/>
      </c>
      <c r="S279" s="378" t="str">
        <f t="shared" si="76"/>
        <v/>
      </c>
    </row>
    <row r="280" spans="2:19" hidden="1" x14ac:dyDescent="0.2">
      <c r="B280" s="791" t="s">
        <v>1808</v>
      </c>
      <c r="C280" s="711" t="s">
        <v>207</v>
      </c>
      <c r="D280" s="713" t="s">
        <v>255</v>
      </c>
      <c r="E280" s="717"/>
      <c r="F280" s="658" t="s">
        <v>803</v>
      </c>
      <c r="G280" s="659">
        <v>3.3999999999999998E-3</v>
      </c>
      <c r="H280" s="660">
        <f>SUM(H281:H281)</f>
        <v>0.70699000000000001</v>
      </c>
      <c r="I280" s="656">
        <v>6.0500000000000007</v>
      </c>
      <c r="J280" s="656">
        <f t="shared" si="94"/>
        <v>6.7569900000000009</v>
      </c>
      <c r="K280" s="606">
        <f t="shared" si="78"/>
        <v>8.56</v>
      </c>
      <c r="L280" s="648" t="s">
        <v>18</v>
      </c>
      <c r="M280" s="697"/>
      <c r="N280" s="698">
        <v>8.56</v>
      </c>
      <c r="O280" s="423">
        <f t="shared" si="67"/>
        <v>0</v>
      </c>
      <c r="P280" s="424">
        <f t="shared" si="68"/>
        <v>0</v>
      </c>
      <c r="Q280" s="288"/>
      <c r="R280" s="243"/>
      <c r="S280" s="378" t="str">
        <f t="shared" si="76"/>
        <v/>
      </c>
    </row>
    <row r="281" spans="2:19" hidden="1" x14ac:dyDescent="0.2">
      <c r="B281" s="730" t="s">
        <v>168</v>
      </c>
      <c r="C281" s="300"/>
      <c r="D281" s="714" t="s">
        <v>253</v>
      </c>
      <c r="E281" s="704"/>
      <c r="F281" s="671">
        <v>20</v>
      </c>
      <c r="G281" s="665">
        <v>3.0499999999999999E-2</v>
      </c>
      <c r="H281" s="663">
        <f t="shared" ref="H281" si="97">IF(F281&lt;=30,(1.05*F281+2.18)*G281,((1.05*30+2.18)+0.87*(F281-30))*G281)</f>
        <v>0.70699000000000001</v>
      </c>
      <c r="I281" s="380">
        <v>0</v>
      </c>
      <c r="J281" s="380"/>
      <c r="K281" s="593">
        <f t="shared" si="78"/>
        <v>0</v>
      </c>
      <c r="L281" s="594" t="s">
        <v>755</v>
      </c>
      <c r="M281" s="699"/>
      <c r="N281" s="419">
        <v>0</v>
      </c>
      <c r="O281" s="287">
        <f t="shared" ref="O281:O356" si="98">IF(ISBLANK(M281),0,ROUND(K281*M281,2))</f>
        <v>0</v>
      </c>
      <c r="P281" s="384">
        <f t="shared" ref="P281:P356" si="99">IF(ISBLANK(N281),0,ROUND(M281*N281,2))</f>
        <v>0</v>
      </c>
      <c r="Q281" s="288"/>
      <c r="R281" s="311" t="str">
        <f>IF(P280&gt;0,"xy","")</f>
        <v/>
      </c>
      <c r="S281" s="378" t="str">
        <f t="shared" si="76"/>
        <v/>
      </c>
    </row>
    <row r="282" spans="2:19" ht="13.5" hidden="1" thickBot="1" x14ac:dyDescent="0.25">
      <c r="B282" s="761" t="s">
        <v>1962</v>
      </c>
      <c r="C282" s="753" t="s">
        <v>1947</v>
      </c>
      <c r="D282" s="712" t="s">
        <v>1766</v>
      </c>
      <c r="E282" s="718"/>
      <c r="F282" s="666">
        <v>500</v>
      </c>
      <c r="G282" s="667">
        <v>1</v>
      </c>
      <c r="H282" s="663">
        <f>(0.74*F282+36.12)*G282</f>
        <v>406.12</v>
      </c>
      <c r="I282" s="657">
        <v>4925.2</v>
      </c>
      <c r="J282" s="657">
        <f>IF(ISBLANK(I282),"",I282*(1+$F$9)/(1+$F$10))+H282</f>
        <v>5105.1688047337275</v>
      </c>
      <c r="K282" s="619">
        <f t="shared" ref="K282:K357" si="100">IF(ISBLANK(I282),0,ROUND(J282*(1+$F$10)*(1+$F$11*E282),2))</f>
        <v>6470.8</v>
      </c>
      <c r="L282" s="649" t="s">
        <v>20</v>
      </c>
      <c r="M282" s="695">
        <f>ROUND(M280*G280,2)</f>
        <v>0</v>
      </c>
      <c r="N282" s="702">
        <v>6470.8</v>
      </c>
      <c r="O282" s="425">
        <f t="shared" si="98"/>
        <v>0</v>
      </c>
      <c r="P282" s="426">
        <f t="shared" si="99"/>
        <v>0</v>
      </c>
      <c r="Q282" s="288"/>
      <c r="R282" s="311" t="str">
        <f>IF(P141&gt;0,"xy","")</f>
        <v/>
      </c>
      <c r="S282" s="378" t="str">
        <f t="shared" si="76"/>
        <v/>
      </c>
    </row>
    <row r="283" spans="2:19" hidden="1" x14ac:dyDescent="0.2">
      <c r="B283" s="791" t="s">
        <v>1809</v>
      </c>
      <c r="C283" s="711" t="s">
        <v>207</v>
      </c>
      <c r="D283" s="713" t="s">
        <v>256</v>
      </c>
      <c r="E283" s="717"/>
      <c r="F283" s="658" t="s">
        <v>803</v>
      </c>
      <c r="G283" s="659">
        <v>3.8E-3</v>
      </c>
      <c r="H283" s="660">
        <f>SUM(H284:H284)</f>
        <v>0.853024</v>
      </c>
      <c r="I283" s="656">
        <v>6.0500000000000007</v>
      </c>
      <c r="J283" s="656">
        <f t="shared" si="94"/>
        <v>6.9030240000000003</v>
      </c>
      <c r="K283" s="606">
        <f t="shared" si="100"/>
        <v>8.75</v>
      </c>
      <c r="L283" s="648" t="s">
        <v>18</v>
      </c>
      <c r="M283" s="697"/>
      <c r="N283" s="698">
        <v>8.75</v>
      </c>
      <c r="O283" s="423">
        <f t="shared" si="98"/>
        <v>0</v>
      </c>
      <c r="P283" s="424">
        <f t="shared" si="99"/>
        <v>0</v>
      </c>
      <c r="Q283" s="288"/>
      <c r="R283" s="243"/>
      <c r="S283" s="378" t="str">
        <f t="shared" si="76"/>
        <v/>
      </c>
    </row>
    <row r="284" spans="2:19" hidden="1" x14ac:dyDescent="0.2">
      <c r="B284" s="730" t="s">
        <v>168</v>
      </c>
      <c r="C284" s="300"/>
      <c r="D284" s="714" t="s">
        <v>253</v>
      </c>
      <c r="E284" s="704"/>
      <c r="F284" s="671">
        <v>20</v>
      </c>
      <c r="G284" s="665">
        <v>3.6799999999999999E-2</v>
      </c>
      <c r="H284" s="663">
        <f t="shared" ref="H284" si="101">IF(F284&lt;=30,(1.05*F284+2.18)*G284,((1.05*30+2.18)+0.87*(F284-30))*G284)</f>
        <v>0.853024</v>
      </c>
      <c r="I284" s="380">
        <v>0</v>
      </c>
      <c r="J284" s="380"/>
      <c r="K284" s="593">
        <f t="shared" si="100"/>
        <v>0</v>
      </c>
      <c r="L284" s="594" t="s">
        <v>755</v>
      </c>
      <c r="M284" s="699"/>
      <c r="N284" s="419">
        <v>0</v>
      </c>
      <c r="O284" s="287">
        <f t="shared" si="98"/>
        <v>0</v>
      </c>
      <c r="P284" s="384">
        <f t="shared" si="99"/>
        <v>0</v>
      </c>
      <c r="Q284" s="288"/>
      <c r="R284" s="311" t="str">
        <f>IF(P283&gt;0,"xy","")</f>
        <v/>
      </c>
      <c r="S284" s="378" t="str">
        <f t="shared" si="76"/>
        <v/>
      </c>
    </row>
    <row r="285" spans="2:19" ht="13.5" hidden="1" thickBot="1" x14ac:dyDescent="0.25">
      <c r="B285" s="761" t="s">
        <v>1963</v>
      </c>
      <c r="C285" s="753" t="s">
        <v>1947</v>
      </c>
      <c r="D285" s="712" t="s">
        <v>941</v>
      </c>
      <c r="E285" s="718"/>
      <c r="F285" s="666">
        <v>500</v>
      </c>
      <c r="G285" s="667">
        <v>1</v>
      </c>
      <c r="H285" s="663">
        <f>(0.74*F285+36.12)*G285</f>
        <v>406.12</v>
      </c>
      <c r="I285" s="657">
        <v>4925.2</v>
      </c>
      <c r="J285" s="657">
        <f>IF(ISBLANK(I285),"",I285*(1+$F$9)/(1+$F$10))+H285</f>
        <v>5105.1688047337275</v>
      </c>
      <c r="K285" s="619">
        <f t="shared" si="100"/>
        <v>6470.8</v>
      </c>
      <c r="L285" s="649" t="s">
        <v>20</v>
      </c>
      <c r="M285" s="695">
        <f>ROUND(M283*G283,2)</f>
        <v>0</v>
      </c>
      <c r="N285" s="702">
        <v>6470.8</v>
      </c>
      <c r="O285" s="425">
        <f t="shared" si="98"/>
        <v>0</v>
      </c>
      <c r="P285" s="426">
        <f t="shared" si="99"/>
        <v>0</v>
      </c>
      <c r="Q285" s="288"/>
      <c r="R285" s="311" t="str">
        <f>IF(P141&gt;0,"xy","")</f>
        <v/>
      </c>
      <c r="S285" s="378" t="str">
        <f t="shared" si="76"/>
        <v/>
      </c>
    </row>
    <row r="286" spans="2:19" hidden="1" x14ac:dyDescent="0.2">
      <c r="B286" s="791" t="s">
        <v>1810</v>
      </c>
      <c r="C286" s="711" t="s">
        <v>207</v>
      </c>
      <c r="D286" s="713" t="s">
        <v>257</v>
      </c>
      <c r="E286" s="717"/>
      <c r="F286" s="658" t="s">
        <v>803</v>
      </c>
      <c r="G286" s="659">
        <v>3.3E-3</v>
      </c>
      <c r="H286" s="660">
        <f>SUM(H287:H287)</f>
        <v>0.65831200000000001</v>
      </c>
      <c r="I286" s="656">
        <v>7.5299999999999994</v>
      </c>
      <c r="J286" s="656">
        <f t="shared" si="94"/>
        <v>8.1883119999999998</v>
      </c>
      <c r="K286" s="606">
        <f t="shared" si="100"/>
        <v>10.38</v>
      </c>
      <c r="L286" s="648" t="s">
        <v>18</v>
      </c>
      <c r="M286" s="697"/>
      <c r="N286" s="698">
        <v>10.38</v>
      </c>
      <c r="O286" s="423">
        <f t="shared" si="98"/>
        <v>0</v>
      </c>
      <c r="P286" s="424">
        <f t="shared" si="99"/>
        <v>0</v>
      </c>
      <c r="Q286" s="288"/>
      <c r="R286" s="243"/>
      <c r="S286" s="378" t="str">
        <f t="shared" ref="S286:S361" si="102">IF(R286="x","x",IF(R286="y","x",IF(R286="xy","x",IF(P286&gt;0,"x",""))))</f>
        <v/>
      </c>
    </row>
    <row r="287" spans="2:19" hidden="1" x14ac:dyDescent="0.2">
      <c r="B287" s="730" t="s">
        <v>168</v>
      </c>
      <c r="C287" s="300"/>
      <c r="D287" s="714" t="s">
        <v>253</v>
      </c>
      <c r="E287" s="704"/>
      <c r="F287" s="671">
        <v>20</v>
      </c>
      <c r="G287" s="665">
        <v>2.8400000000000002E-2</v>
      </c>
      <c r="H287" s="663">
        <f t="shared" ref="H287" si="103">IF(F287&lt;=30,(1.05*F287+2.18)*G287,((1.05*30+2.18)+0.87*(F287-30))*G287)</f>
        <v>0.65831200000000001</v>
      </c>
      <c r="I287" s="380">
        <v>0</v>
      </c>
      <c r="J287" s="380"/>
      <c r="K287" s="593">
        <f t="shared" si="100"/>
        <v>0</v>
      </c>
      <c r="L287" s="594" t="s">
        <v>755</v>
      </c>
      <c r="M287" s="699"/>
      <c r="N287" s="419">
        <v>0</v>
      </c>
      <c r="O287" s="287">
        <f t="shared" si="98"/>
        <v>0</v>
      </c>
      <c r="P287" s="384">
        <f t="shared" si="99"/>
        <v>0</v>
      </c>
      <c r="Q287" s="288"/>
      <c r="R287" s="311" t="str">
        <f>IF(P286&gt;0,"xy","")</f>
        <v/>
      </c>
      <c r="S287" s="378" t="str">
        <f t="shared" si="102"/>
        <v/>
      </c>
    </row>
    <row r="288" spans="2:19" ht="13.5" hidden="1" thickBot="1" x14ac:dyDescent="0.25">
      <c r="B288" s="761" t="s">
        <v>1964</v>
      </c>
      <c r="C288" s="753" t="s">
        <v>1947</v>
      </c>
      <c r="D288" s="712" t="s">
        <v>942</v>
      </c>
      <c r="E288" s="718"/>
      <c r="F288" s="666">
        <v>500</v>
      </c>
      <c r="G288" s="667">
        <v>1</v>
      </c>
      <c r="H288" s="663">
        <f>(0.74*F288+36.12)*G288</f>
        <v>406.12</v>
      </c>
      <c r="I288" s="657">
        <v>4925.2</v>
      </c>
      <c r="J288" s="657">
        <f>IF(ISBLANK(I288),"",I288*(1+$F$9)/(1+$F$10))+H288</f>
        <v>5105.1688047337275</v>
      </c>
      <c r="K288" s="619">
        <f t="shared" si="100"/>
        <v>6470.8</v>
      </c>
      <c r="L288" s="649" t="s">
        <v>20</v>
      </c>
      <c r="M288" s="695">
        <f>ROUND(M286*G286,2)</f>
        <v>0</v>
      </c>
      <c r="N288" s="702">
        <v>6470.8</v>
      </c>
      <c r="O288" s="425">
        <f t="shared" si="98"/>
        <v>0</v>
      </c>
      <c r="P288" s="426">
        <f t="shared" si="99"/>
        <v>0</v>
      </c>
      <c r="Q288" s="288"/>
      <c r="R288" s="311" t="str">
        <f>IF(P141&gt;0,"xy","")</f>
        <v/>
      </c>
      <c r="S288" s="378" t="str">
        <f t="shared" si="102"/>
        <v/>
      </c>
    </row>
    <row r="289" spans="2:19" hidden="1" x14ac:dyDescent="0.2">
      <c r="B289" s="791" t="s">
        <v>1811</v>
      </c>
      <c r="C289" s="711" t="s">
        <v>207</v>
      </c>
      <c r="D289" s="713" t="s">
        <v>258</v>
      </c>
      <c r="E289" s="717"/>
      <c r="F289" s="658" t="s">
        <v>803</v>
      </c>
      <c r="G289" s="659">
        <v>3.8E-3</v>
      </c>
      <c r="H289" s="660">
        <f>SUM(H290:H290)</f>
        <v>0.80434600000000001</v>
      </c>
      <c r="I289" s="656">
        <v>7.5299999999999994</v>
      </c>
      <c r="J289" s="656">
        <f t="shared" si="94"/>
        <v>8.334346</v>
      </c>
      <c r="K289" s="606">
        <f t="shared" si="100"/>
        <v>10.56</v>
      </c>
      <c r="L289" s="648" t="s">
        <v>18</v>
      </c>
      <c r="M289" s="697"/>
      <c r="N289" s="698">
        <v>10.56</v>
      </c>
      <c r="O289" s="423">
        <f t="shared" si="98"/>
        <v>0</v>
      </c>
      <c r="P289" s="424">
        <f t="shared" si="99"/>
        <v>0</v>
      </c>
      <c r="Q289" s="288"/>
      <c r="R289" s="243"/>
      <c r="S289" s="378" t="str">
        <f t="shared" si="102"/>
        <v/>
      </c>
    </row>
    <row r="290" spans="2:19" hidden="1" x14ac:dyDescent="0.2">
      <c r="B290" s="730" t="s">
        <v>168</v>
      </c>
      <c r="C290" s="300"/>
      <c r="D290" s="714" t="s">
        <v>253</v>
      </c>
      <c r="E290" s="704"/>
      <c r="F290" s="671">
        <v>20</v>
      </c>
      <c r="G290" s="665">
        <v>3.4700000000000002E-2</v>
      </c>
      <c r="H290" s="663">
        <f t="shared" ref="H290" si="104">IF(F290&lt;=30,(1.05*F290+2.18)*G290,((1.05*30+2.18)+0.87*(F290-30))*G290)</f>
        <v>0.80434600000000001</v>
      </c>
      <c r="I290" s="380">
        <v>0</v>
      </c>
      <c r="J290" s="380"/>
      <c r="K290" s="593">
        <f t="shared" si="100"/>
        <v>0</v>
      </c>
      <c r="L290" s="594" t="s">
        <v>755</v>
      </c>
      <c r="M290" s="699"/>
      <c r="N290" s="419">
        <v>0</v>
      </c>
      <c r="O290" s="287">
        <f t="shared" si="98"/>
        <v>0</v>
      </c>
      <c r="P290" s="384">
        <f t="shared" si="99"/>
        <v>0</v>
      </c>
      <c r="Q290" s="288"/>
      <c r="R290" s="311" t="str">
        <f>IF(P289&gt;0,"xy","")</f>
        <v/>
      </c>
      <c r="S290" s="378" t="str">
        <f t="shared" si="102"/>
        <v/>
      </c>
    </row>
    <row r="291" spans="2:19" ht="13.5" hidden="1" thickBot="1" x14ac:dyDescent="0.25">
      <c r="B291" s="761" t="s">
        <v>1965</v>
      </c>
      <c r="C291" s="753" t="s">
        <v>1947</v>
      </c>
      <c r="D291" s="712" t="s">
        <v>796</v>
      </c>
      <c r="E291" s="718"/>
      <c r="F291" s="666">
        <v>500</v>
      </c>
      <c r="G291" s="667">
        <v>1</v>
      </c>
      <c r="H291" s="663">
        <f>(0.74*F291+36.12)*G291</f>
        <v>406.12</v>
      </c>
      <c r="I291" s="657">
        <v>4925.2</v>
      </c>
      <c r="J291" s="657">
        <f>IF(ISBLANK(I291),"",I291*(1+$F$9)/(1+$F$10))+H291</f>
        <v>5105.1688047337275</v>
      </c>
      <c r="K291" s="619">
        <f t="shared" si="100"/>
        <v>6470.8</v>
      </c>
      <c r="L291" s="649" t="s">
        <v>20</v>
      </c>
      <c r="M291" s="695">
        <f>ROUND(M289*G289,2)</f>
        <v>0</v>
      </c>
      <c r="N291" s="702">
        <v>6470.8</v>
      </c>
      <c r="O291" s="425">
        <f t="shared" si="98"/>
        <v>0</v>
      </c>
      <c r="P291" s="426">
        <f t="shared" si="99"/>
        <v>0</v>
      </c>
      <c r="Q291" s="288"/>
      <c r="R291" s="311" t="str">
        <f>IF(P141&gt;0,"xy","")</f>
        <v/>
      </c>
      <c r="S291" s="378" t="str">
        <f t="shared" si="102"/>
        <v/>
      </c>
    </row>
    <row r="292" spans="2:19" hidden="1" x14ac:dyDescent="0.2">
      <c r="B292" s="791" t="s">
        <v>1812</v>
      </c>
      <c r="C292" s="711" t="s">
        <v>207</v>
      </c>
      <c r="D292" s="713" t="s">
        <v>259</v>
      </c>
      <c r="E292" s="717"/>
      <c r="F292" s="658" t="s">
        <v>803</v>
      </c>
      <c r="G292" s="659">
        <v>4.0000000000000001E-3</v>
      </c>
      <c r="H292" s="660">
        <f>SUM(H293:H293)</f>
        <v>1.1126400000000001</v>
      </c>
      <c r="I292" s="656">
        <v>7.5299999999999994</v>
      </c>
      <c r="J292" s="656">
        <f t="shared" si="94"/>
        <v>8.6426400000000001</v>
      </c>
      <c r="K292" s="606">
        <f t="shared" si="100"/>
        <v>10.95</v>
      </c>
      <c r="L292" s="648" t="s">
        <v>18</v>
      </c>
      <c r="M292" s="697"/>
      <c r="N292" s="698">
        <v>10.95</v>
      </c>
      <c r="O292" s="423">
        <f t="shared" si="98"/>
        <v>0</v>
      </c>
      <c r="P292" s="424">
        <f t="shared" si="99"/>
        <v>0</v>
      </c>
      <c r="Q292" s="288"/>
      <c r="R292" s="243"/>
      <c r="S292" s="378" t="str">
        <f t="shared" si="102"/>
        <v/>
      </c>
    </row>
    <row r="293" spans="2:19" hidden="1" x14ac:dyDescent="0.2">
      <c r="B293" s="730" t="s">
        <v>168</v>
      </c>
      <c r="C293" s="300"/>
      <c r="D293" s="714" t="s">
        <v>253</v>
      </c>
      <c r="E293" s="704"/>
      <c r="F293" s="671">
        <v>20</v>
      </c>
      <c r="G293" s="665">
        <v>4.8000000000000001E-2</v>
      </c>
      <c r="H293" s="663">
        <f t="shared" ref="H293" si="105">IF(F293&lt;=30,(1.05*F293+2.18)*G293,((1.05*30+2.18)+0.87*(F293-30))*G293)</f>
        <v>1.1126400000000001</v>
      </c>
      <c r="I293" s="380">
        <v>0</v>
      </c>
      <c r="J293" s="380"/>
      <c r="K293" s="593">
        <f t="shared" si="100"/>
        <v>0</v>
      </c>
      <c r="L293" s="594" t="s">
        <v>755</v>
      </c>
      <c r="M293" s="699"/>
      <c r="N293" s="419">
        <v>0</v>
      </c>
      <c r="O293" s="287">
        <f t="shared" si="98"/>
        <v>0</v>
      </c>
      <c r="P293" s="384">
        <f t="shared" si="99"/>
        <v>0</v>
      </c>
      <c r="Q293" s="288"/>
      <c r="R293" s="311" t="str">
        <f>IF(P292&gt;0,"xy","")</f>
        <v/>
      </c>
      <c r="S293" s="378" t="str">
        <f t="shared" si="102"/>
        <v/>
      </c>
    </row>
    <row r="294" spans="2:19" ht="13.5" hidden="1" thickBot="1" x14ac:dyDescent="0.25">
      <c r="B294" s="761" t="s">
        <v>1966</v>
      </c>
      <c r="C294" s="753" t="s">
        <v>1947</v>
      </c>
      <c r="D294" s="712" t="s">
        <v>943</v>
      </c>
      <c r="E294" s="718"/>
      <c r="F294" s="666">
        <v>500</v>
      </c>
      <c r="G294" s="667">
        <v>1</v>
      </c>
      <c r="H294" s="663">
        <f>(0.74*F294+36.12)*G294</f>
        <v>406.12</v>
      </c>
      <c r="I294" s="657">
        <v>4925.2</v>
      </c>
      <c r="J294" s="657">
        <f>IF(ISBLANK(I294),"",I294*(1+$F$9)/(1+$F$10))+H294</f>
        <v>5105.1688047337275</v>
      </c>
      <c r="K294" s="619">
        <f t="shared" si="100"/>
        <v>6470.8</v>
      </c>
      <c r="L294" s="649" t="s">
        <v>20</v>
      </c>
      <c r="M294" s="695">
        <f>ROUND(M292*G292,2)</f>
        <v>0</v>
      </c>
      <c r="N294" s="702">
        <v>6470.8</v>
      </c>
      <c r="O294" s="425">
        <f t="shared" si="98"/>
        <v>0</v>
      </c>
      <c r="P294" s="426">
        <f t="shared" si="99"/>
        <v>0</v>
      </c>
      <c r="Q294" s="288"/>
      <c r="R294" s="311" t="str">
        <f>IF(P141&gt;0,"xy","")</f>
        <v/>
      </c>
      <c r="S294" s="378" t="str">
        <f t="shared" si="102"/>
        <v/>
      </c>
    </row>
    <row r="295" spans="2:19" hidden="1" x14ac:dyDescent="0.2">
      <c r="B295" s="791">
        <v>564000</v>
      </c>
      <c r="C295" s="711" t="s">
        <v>207</v>
      </c>
      <c r="D295" s="713" t="s">
        <v>260</v>
      </c>
      <c r="E295" s="717"/>
      <c r="F295" s="658" t="s">
        <v>803</v>
      </c>
      <c r="G295" s="659">
        <v>0.125</v>
      </c>
      <c r="H295" s="660">
        <f>SUM(H296:H296)</f>
        <v>50.996000000000002</v>
      </c>
      <c r="I295" s="656">
        <v>104.78</v>
      </c>
      <c r="J295" s="656">
        <f t="shared" si="94"/>
        <v>155.77600000000001</v>
      </c>
      <c r="K295" s="606">
        <f t="shared" si="100"/>
        <v>197.45</v>
      </c>
      <c r="L295" s="648" t="s">
        <v>16</v>
      </c>
      <c r="M295" s="697"/>
      <c r="N295" s="698">
        <v>197.45</v>
      </c>
      <c r="O295" s="423">
        <f t="shared" si="98"/>
        <v>0</v>
      </c>
      <c r="P295" s="424">
        <f t="shared" si="99"/>
        <v>0</v>
      </c>
      <c r="Q295" s="288"/>
      <c r="R295" s="243"/>
      <c r="S295" s="378" t="str">
        <f t="shared" si="102"/>
        <v/>
      </c>
    </row>
    <row r="296" spans="2:19" hidden="1" x14ac:dyDescent="0.2">
      <c r="B296" s="730" t="s">
        <v>168</v>
      </c>
      <c r="C296" s="300"/>
      <c r="D296" s="714" t="s">
        <v>253</v>
      </c>
      <c r="E296" s="704"/>
      <c r="F296" s="671">
        <v>20</v>
      </c>
      <c r="G296" s="665">
        <v>2.2000000000000002</v>
      </c>
      <c r="H296" s="663">
        <f t="shared" ref="H296" si="106">IF(F296&lt;=30,(1.05*F296+2.18)*G296,((1.05*30+2.18)+0.87*(F296-30))*G296)</f>
        <v>50.996000000000002</v>
      </c>
      <c r="I296" s="380">
        <v>0</v>
      </c>
      <c r="J296" s="380"/>
      <c r="K296" s="593">
        <f t="shared" si="100"/>
        <v>0</v>
      </c>
      <c r="L296" s="594" t="s">
        <v>755</v>
      </c>
      <c r="M296" s="699"/>
      <c r="N296" s="419">
        <v>0</v>
      </c>
      <c r="O296" s="287">
        <f t="shared" si="98"/>
        <v>0</v>
      </c>
      <c r="P296" s="384">
        <f t="shared" si="99"/>
        <v>0</v>
      </c>
      <c r="Q296" s="288"/>
      <c r="R296" s="311" t="str">
        <f>IF(P295&gt;0,"xy","")</f>
        <v/>
      </c>
      <c r="S296" s="378" t="str">
        <f t="shared" si="102"/>
        <v/>
      </c>
    </row>
    <row r="297" spans="2:19" ht="13.5" hidden="1" thickBot="1" x14ac:dyDescent="0.25">
      <c r="B297" s="761" t="s">
        <v>1967</v>
      </c>
      <c r="C297" s="753" t="s">
        <v>1947</v>
      </c>
      <c r="D297" s="712" t="s">
        <v>944</v>
      </c>
      <c r="E297" s="718"/>
      <c r="F297" s="666">
        <v>500</v>
      </c>
      <c r="G297" s="667">
        <v>1</v>
      </c>
      <c r="H297" s="663">
        <f>(0.74*F297+36.12)*G297</f>
        <v>406.12</v>
      </c>
      <c r="I297" s="657">
        <v>4925.2</v>
      </c>
      <c r="J297" s="657">
        <f>IF(ISBLANK(I297),"",I297*(1+$F$9)/(1+$F$10))+H297</f>
        <v>5105.1688047337275</v>
      </c>
      <c r="K297" s="619">
        <f t="shared" si="100"/>
        <v>6470.8</v>
      </c>
      <c r="L297" s="649" t="s">
        <v>20</v>
      </c>
      <c r="M297" s="695">
        <f>ROUND(M295*G295,2)</f>
        <v>0</v>
      </c>
      <c r="N297" s="702">
        <v>6470.8</v>
      </c>
      <c r="O297" s="425">
        <f t="shared" si="98"/>
        <v>0</v>
      </c>
      <c r="P297" s="426">
        <f t="shared" si="99"/>
        <v>0</v>
      </c>
      <c r="Q297" s="288"/>
      <c r="R297" s="311" t="str">
        <f>IF(P141&gt;0,"xy","")</f>
        <v/>
      </c>
      <c r="S297" s="378" t="str">
        <f t="shared" si="102"/>
        <v/>
      </c>
    </row>
    <row r="298" spans="2:19" hidden="1" x14ac:dyDescent="0.2">
      <c r="B298" s="791">
        <v>564300</v>
      </c>
      <c r="C298" s="711" t="s">
        <v>207</v>
      </c>
      <c r="D298" s="715" t="s">
        <v>261</v>
      </c>
      <c r="E298" s="717"/>
      <c r="F298" s="658" t="s">
        <v>804</v>
      </c>
      <c r="G298" s="659">
        <v>0.1</v>
      </c>
      <c r="H298" s="660">
        <f>SUM(H299:H299)</f>
        <v>50.996000000000002</v>
      </c>
      <c r="I298" s="656">
        <v>112.12</v>
      </c>
      <c r="J298" s="656">
        <f t="shared" si="94"/>
        <v>163.11600000000001</v>
      </c>
      <c r="K298" s="606">
        <f t="shared" si="100"/>
        <v>206.75</v>
      </c>
      <c r="L298" s="648" t="s">
        <v>16</v>
      </c>
      <c r="M298" s="697"/>
      <c r="N298" s="698">
        <v>206.75</v>
      </c>
      <c r="O298" s="423">
        <f t="shared" si="98"/>
        <v>0</v>
      </c>
      <c r="P298" s="424">
        <f t="shared" si="99"/>
        <v>0</v>
      </c>
      <c r="Q298" s="288"/>
      <c r="R298" s="243"/>
      <c r="S298" s="378" t="str">
        <f t="shared" si="102"/>
        <v/>
      </c>
    </row>
    <row r="299" spans="2:19" hidden="1" x14ac:dyDescent="0.2">
      <c r="B299" s="730" t="s">
        <v>168</v>
      </c>
      <c r="C299" s="300"/>
      <c r="D299" s="759" t="s">
        <v>253</v>
      </c>
      <c r="E299" s="704"/>
      <c r="F299" s="671">
        <v>20</v>
      </c>
      <c r="G299" s="665">
        <v>2.2000000000000002</v>
      </c>
      <c r="H299" s="663">
        <f t="shared" ref="H299" si="107">IF(F299&lt;=30,(1.05*F299+2.18)*G299,((1.05*30+2.18)+0.87*(F299-30))*G299)</f>
        <v>50.996000000000002</v>
      </c>
      <c r="I299" s="380">
        <v>0</v>
      </c>
      <c r="J299" s="380"/>
      <c r="K299" s="593">
        <f t="shared" si="100"/>
        <v>0</v>
      </c>
      <c r="L299" s="594" t="s">
        <v>755</v>
      </c>
      <c r="M299" s="699"/>
      <c r="N299" s="419">
        <v>0</v>
      </c>
      <c r="O299" s="287">
        <f t="shared" si="98"/>
        <v>0</v>
      </c>
      <c r="P299" s="384">
        <f t="shared" si="99"/>
        <v>0</v>
      </c>
      <c r="Q299" s="288"/>
      <c r="R299" s="311" t="str">
        <f>IF(P298&gt;0,"xy","")</f>
        <v/>
      </c>
      <c r="S299" s="378" t="str">
        <f t="shared" si="102"/>
        <v/>
      </c>
    </row>
    <row r="300" spans="2:19" ht="13.5" hidden="1" thickBot="1" x14ac:dyDescent="0.25">
      <c r="B300" s="763" t="s">
        <v>1968</v>
      </c>
      <c r="C300" s="753" t="s">
        <v>1947</v>
      </c>
      <c r="D300" s="712" t="s">
        <v>797</v>
      </c>
      <c r="E300" s="718"/>
      <c r="F300" s="666">
        <v>500</v>
      </c>
      <c r="G300" s="667">
        <v>1</v>
      </c>
      <c r="H300" s="668">
        <f>(0.82*F300+40.14)*G300</f>
        <v>450.14</v>
      </c>
      <c r="I300" s="657">
        <v>6287.6</v>
      </c>
      <c r="J300" s="657">
        <f>IF(ISBLANK(I300),"",I300*(1+$F$9)/(1+$F$10))+H300</f>
        <v>6449.0312662721899</v>
      </c>
      <c r="K300" s="619">
        <f t="shared" si="100"/>
        <v>8174.15</v>
      </c>
      <c r="L300" s="649" t="s">
        <v>20</v>
      </c>
      <c r="M300" s="695">
        <f>ROUND(M298*G298,2)</f>
        <v>0</v>
      </c>
      <c r="N300" s="702">
        <v>8174.15</v>
      </c>
      <c r="O300" s="425">
        <f t="shared" si="98"/>
        <v>0</v>
      </c>
      <c r="P300" s="426">
        <f t="shared" si="99"/>
        <v>0</v>
      </c>
      <c r="Q300" s="288"/>
      <c r="R300" s="311" t="str">
        <f>IF(P141&gt;0,"xy","")</f>
        <v/>
      </c>
      <c r="S300" s="378" t="str">
        <f t="shared" si="102"/>
        <v/>
      </c>
    </row>
    <row r="301" spans="2:19" hidden="1" x14ac:dyDescent="0.2">
      <c r="B301" s="791" t="s">
        <v>1829</v>
      </c>
      <c r="C301" s="711" t="s">
        <v>207</v>
      </c>
      <c r="D301" s="713" t="s">
        <v>262</v>
      </c>
      <c r="E301" s="717"/>
      <c r="F301" s="658" t="s">
        <v>803</v>
      </c>
      <c r="G301" s="659">
        <v>5.0000000000000001E-4</v>
      </c>
      <c r="H301" s="660">
        <f>SUM(H302:H302)</f>
        <v>0.16225999999999999</v>
      </c>
      <c r="I301" s="656">
        <v>1.1299999999999999</v>
      </c>
      <c r="J301" s="656">
        <f t="shared" si="94"/>
        <v>1.29226</v>
      </c>
      <c r="K301" s="606">
        <f t="shared" si="100"/>
        <v>1.64</v>
      </c>
      <c r="L301" s="648" t="s">
        <v>18</v>
      </c>
      <c r="M301" s="697"/>
      <c r="N301" s="698">
        <v>1.64</v>
      </c>
      <c r="O301" s="423">
        <f t="shared" si="98"/>
        <v>0</v>
      </c>
      <c r="P301" s="424">
        <f t="shared" si="99"/>
        <v>0</v>
      </c>
      <c r="Q301" s="288"/>
      <c r="R301" s="243"/>
      <c r="S301" s="378" t="str">
        <f t="shared" si="102"/>
        <v/>
      </c>
    </row>
    <row r="302" spans="2:19" hidden="1" x14ac:dyDescent="0.2">
      <c r="B302" s="730" t="s">
        <v>168</v>
      </c>
      <c r="C302" s="300"/>
      <c r="D302" s="714" t="s">
        <v>253</v>
      </c>
      <c r="E302" s="704"/>
      <c r="F302" s="671">
        <v>20</v>
      </c>
      <c r="G302" s="665">
        <v>7.0000000000000001E-3</v>
      </c>
      <c r="H302" s="663">
        <f t="shared" ref="H302" si="108">IF(F302&lt;=30,(1.05*F302+2.18)*G302,((1.05*30+2.18)+0.87*(F302-30))*G302)</f>
        <v>0.16225999999999999</v>
      </c>
      <c r="I302" s="380">
        <v>0</v>
      </c>
      <c r="J302" s="380"/>
      <c r="K302" s="593">
        <f t="shared" si="100"/>
        <v>0</v>
      </c>
      <c r="L302" s="594" t="s">
        <v>755</v>
      </c>
      <c r="M302" s="699"/>
      <c r="N302" s="419">
        <v>0</v>
      </c>
      <c r="O302" s="287">
        <f t="shared" si="98"/>
        <v>0</v>
      </c>
      <c r="P302" s="384">
        <f t="shared" si="99"/>
        <v>0</v>
      </c>
      <c r="Q302" s="288"/>
      <c r="R302" s="311" t="str">
        <f>IF(P301&gt;0,"xy","")</f>
        <v/>
      </c>
      <c r="S302" s="378" t="str">
        <f t="shared" si="102"/>
        <v/>
      </c>
    </row>
    <row r="303" spans="2:19" ht="13.5" hidden="1" thickBot="1" x14ac:dyDescent="0.25">
      <c r="B303" s="761" t="s">
        <v>1969</v>
      </c>
      <c r="C303" s="753" t="s">
        <v>1947</v>
      </c>
      <c r="D303" s="712" t="s">
        <v>798</v>
      </c>
      <c r="E303" s="718"/>
      <c r="F303" s="666">
        <v>500</v>
      </c>
      <c r="G303" s="667">
        <v>1</v>
      </c>
      <c r="H303" s="663">
        <f>(0.74*F303+36.12)*G303</f>
        <v>406.12</v>
      </c>
      <c r="I303" s="657">
        <v>4925.2</v>
      </c>
      <c r="J303" s="657">
        <f>IF(ISBLANK(I303),"",I303*(1+$F$9)/(1+$F$10))+H303</f>
        <v>5105.1688047337275</v>
      </c>
      <c r="K303" s="613">
        <f t="shared" si="100"/>
        <v>6470.8</v>
      </c>
      <c r="L303" s="649" t="s">
        <v>20</v>
      </c>
      <c r="M303" s="695">
        <f>ROUND(M301*G301,2)</f>
        <v>0</v>
      </c>
      <c r="N303" s="702">
        <v>6470.8</v>
      </c>
      <c r="O303" s="425">
        <f t="shared" si="98"/>
        <v>0</v>
      </c>
      <c r="P303" s="426">
        <f t="shared" si="99"/>
        <v>0</v>
      </c>
      <c r="Q303" s="288"/>
      <c r="R303" s="311" t="str">
        <f>IF(P141&gt;0,"xy","")</f>
        <v/>
      </c>
      <c r="S303" s="378" t="str">
        <f t="shared" si="102"/>
        <v/>
      </c>
    </row>
    <row r="304" spans="2:19" hidden="1" x14ac:dyDescent="0.2">
      <c r="B304" s="760" t="s">
        <v>820</v>
      </c>
      <c r="C304" s="711" t="s">
        <v>207</v>
      </c>
      <c r="D304" s="716" t="s">
        <v>812</v>
      </c>
      <c r="E304" s="717"/>
      <c r="F304" s="658" t="s">
        <v>805</v>
      </c>
      <c r="G304" s="659">
        <v>0.08</v>
      </c>
      <c r="H304" s="660">
        <f>SUM(H305:H308)</f>
        <v>60.880800000000008</v>
      </c>
      <c r="I304" s="656">
        <v>122.81</v>
      </c>
      <c r="J304" s="656">
        <f t="shared" ref="J304" si="109">IF(ISBLANK(I304),"",SUM(H304:I304))</f>
        <v>183.69080000000002</v>
      </c>
      <c r="K304" s="606">
        <f t="shared" si="100"/>
        <v>232.83</v>
      </c>
      <c r="L304" s="648" t="s">
        <v>16</v>
      </c>
      <c r="M304" s="697"/>
      <c r="N304" s="698">
        <v>232.83</v>
      </c>
      <c r="O304" s="423">
        <f t="shared" si="98"/>
        <v>0</v>
      </c>
      <c r="P304" s="424">
        <f t="shared" si="99"/>
        <v>0</v>
      </c>
      <c r="Q304" s="288"/>
      <c r="R304" s="243"/>
      <c r="S304" s="378" t="str">
        <f t="shared" si="102"/>
        <v/>
      </c>
    </row>
    <row r="305" spans="2:19" hidden="1" x14ac:dyDescent="0.2">
      <c r="B305" s="731" t="s">
        <v>168</v>
      </c>
      <c r="C305" s="300"/>
      <c r="D305" s="417" t="s">
        <v>249</v>
      </c>
      <c r="E305" s="704"/>
      <c r="F305" s="661">
        <v>180</v>
      </c>
      <c r="G305" s="665"/>
      <c r="H305" s="663">
        <f t="shared" ref="H305" si="110">IF(F305&lt;=30,(1.05*F305+2.18)*G305,((1.05*30+2.18)+0.87*(F305-30))*G305)</f>
        <v>0</v>
      </c>
      <c r="I305" s="380">
        <v>0</v>
      </c>
      <c r="J305" s="380">
        <f t="shared" ref="J305" si="111">IF(ISBLANK(I305),"",SUM(H305:I305))</f>
        <v>0</v>
      </c>
      <c r="K305" s="593">
        <f t="shared" si="100"/>
        <v>0</v>
      </c>
      <c r="L305" s="594" t="s">
        <v>755</v>
      </c>
      <c r="M305" s="699"/>
      <c r="N305" s="419">
        <v>0</v>
      </c>
      <c r="O305" s="287">
        <f t="shared" si="98"/>
        <v>0</v>
      </c>
      <c r="P305" s="384">
        <f t="shared" si="99"/>
        <v>0</v>
      </c>
      <c r="Q305" s="288"/>
      <c r="R305" s="311" t="str">
        <f>IF(P304&gt;0,"xy","")</f>
        <v/>
      </c>
      <c r="S305" s="378" t="str">
        <f t="shared" si="102"/>
        <v/>
      </c>
    </row>
    <row r="306" spans="2:19" hidden="1" x14ac:dyDescent="0.2">
      <c r="B306" s="731" t="s">
        <v>168</v>
      </c>
      <c r="C306" s="300"/>
      <c r="D306" s="417" t="s">
        <v>250</v>
      </c>
      <c r="E306" s="704"/>
      <c r="F306" s="661">
        <v>500</v>
      </c>
      <c r="G306" s="665"/>
      <c r="H306" s="664">
        <f>IF(F306&lt;=30,(0.51*F306+4.28)*G306,((0.51*30+4.28)+0.42*(F306-30))*G306)</f>
        <v>0</v>
      </c>
      <c r="I306" s="380">
        <v>0</v>
      </c>
      <c r="J306" s="380">
        <f t="shared" ref="J306" si="112">IF(ISBLANK(I306),"",SUM(H306:I306))</f>
        <v>0</v>
      </c>
      <c r="K306" s="593">
        <f t="shared" si="100"/>
        <v>0</v>
      </c>
      <c r="L306" s="594" t="s">
        <v>755</v>
      </c>
      <c r="M306" s="699"/>
      <c r="N306" s="419">
        <v>0</v>
      </c>
      <c r="O306" s="287">
        <f t="shared" si="98"/>
        <v>0</v>
      </c>
      <c r="P306" s="384">
        <f t="shared" si="99"/>
        <v>0</v>
      </c>
      <c r="Q306" s="288"/>
      <c r="R306" s="311" t="str">
        <f>IF(P304&gt;0,"xy","")</f>
        <v/>
      </c>
      <c r="S306" s="378" t="str">
        <f t="shared" si="102"/>
        <v/>
      </c>
    </row>
    <row r="307" spans="2:19" hidden="1" x14ac:dyDescent="0.2">
      <c r="B307" s="731" t="s">
        <v>168</v>
      </c>
      <c r="C307" s="300"/>
      <c r="D307" s="417" t="s">
        <v>263</v>
      </c>
      <c r="E307" s="704"/>
      <c r="F307" s="661">
        <v>0.2</v>
      </c>
      <c r="G307" s="665">
        <v>2.12</v>
      </c>
      <c r="H307" s="664">
        <f>IF(F307=0,0,IF(F307&lt;=30,(1.05*F307+2.18)*G307,((1.05*30+2.18)+0.87*(F307-30))*G307))</f>
        <v>5.0668000000000006</v>
      </c>
      <c r="I307" s="380">
        <v>0</v>
      </c>
      <c r="J307" s="380"/>
      <c r="K307" s="593">
        <f t="shared" si="100"/>
        <v>0</v>
      </c>
      <c r="L307" s="594" t="s">
        <v>755</v>
      </c>
      <c r="M307" s="699"/>
      <c r="N307" s="419">
        <v>0</v>
      </c>
      <c r="O307" s="287">
        <f t="shared" si="98"/>
        <v>0</v>
      </c>
      <c r="P307" s="384">
        <f t="shared" si="99"/>
        <v>0</v>
      </c>
      <c r="Q307" s="288"/>
      <c r="R307" s="311" t="str">
        <f>IF(P304&gt;0,"xy","")</f>
        <v/>
      </c>
      <c r="S307" s="378" t="str">
        <f t="shared" si="102"/>
        <v/>
      </c>
    </row>
    <row r="308" spans="2:19" hidden="1" x14ac:dyDescent="0.2">
      <c r="B308" s="731" t="s">
        <v>168</v>
      </c>
      <c r="C308" s="300"/>
      <c r="D308" s="417" t="s">
        <v>264</v>
      </c>
      <c r="E308" s="704"/>
      <c r="F308" s="661">
        <v>20</v>
      </c>
      <c r="G308" s="665">
        <f>SUM(G304:G307)</f>
        <v>2.2000000000000002</v>
      </c>
      <c r="H308" s="664">
        <f>IF(F308&lt;=30,(1.05*F308+4.37)*G308,((1.05*30+4.37)+0.87*(F308-30))*G308)</f>
        <v>55.814000000000007</v>
      </c>
      <c r="I308" s="380">
        <v>0</v>
      </c>
      <c r="J308" s="380"/>
      <c r="K308" s="593">
        <f t="shared" si="100"/>
        <v>0</v>
      </c>
      <c r="L308" s="594" t="s">
        <v>755</v>
      </c>
      <c r="M308" s="699"/>
      <c r="N308" s="703">
        <v>0</v>
      </c>
      <c r="O308" s="287">
        <f t="shared" si="98"/>
        <v>0</v>
      </c>
      <c r="P308" s="384">
        <f t="shared" si="99"/>
        <v>0</v>
      </c>
      <c r="Q308" s="288"/>
      <c r="R308" s="243" t="str">
        <f>IF(P304&gt;0,"xy","")</f>
        <v/>
      </c>
      <c r="S308" s="378" t="str">
        <f t="shared" si="102"/>
        <v/>
      </c>
    </row>
    <row r="309" spans="2:19" ht="13.5" hidden="1" thickBot="1" x14ac:dyDescent="0.25">
      <c r="B309" s="761" t="s">
        <v>1970</v>
      </c>
      <c r="C309" s="753" t="s">
        <v>1947</v>
      </c>
      <c r="D309" s="712" t="s">
        <v>998</v>
      </c>
      <c r="E309" s="718"/>
      <c r="F309" s="666">
        <v>500</v>
      </c>
      <c r="G309" s="667">
        <v>1</v>
      </c>
      <c r="H309" s="663">
        <f>(0.74*F309+36.12)*G309</f>
        <v>406.12</v>
      </c>
      <c r="I309" s="657">
        <v>5048.25</v>
      </c>
      <c r="J309" s="657">
        <f>IF(ISBLANK(I309),"",I309*(1+$F$9)/(1+$F$10))+H309</f>
        <v>5222.5686982248517</v>
      </c>
      <c r="K309" s="619">
        <f t="shared" si="100"/>
        <v>6619.61</v>
      </c>
      <c r="L309" s="649" t="s">
        <v>20</v>
      </c>
      <c r="M309" s="695">
        <f>ROUND(M304*G304,2)</f>
        <v>0</v>
      </c>
      <c r="N309" s="700">
        <v>6619.61</v>
      </c>
      <c r="O309" s="425">
        <f t="shared" si="98"/>
        <v>0</v>
      </c>
      <c r="P309" s="426">
        <f t="shared" si="99"/>
        <v>0</v>
      </c>
      <c r="Q309" s="288"/>
      <c r="R309" s="311" t="str">
        <f>IF(P141&gt;0,"xy","")</f>
        <v/>
      </c>
      <c r="S309" s="378" t="str">
        <f t="shared" si="102"/>
        <v/>
      </c>
    </row>
    <row r="310" spans="2:19" hidden="1" x14ac:dyDescent="0.2">
      <c r="B310" s="760" t="s">
        <v>821</v>
      </c>
      <c r="C310" s="711" t="s">
        <v>207</v>
      </c>
      <c r="D310" s="716" t="s">
        <v>811</v>
      </c>
      <c r="E310" s="717"/>
      <c r="F310" s="658" t="s">
        <v>805</v>
      </c>
      <c r="G310" s="659">
        <v>0.08</v>
      </c>
      <c r="H310" s="660">
        <f>SUM(H311:H314)</f>
        <v>60.880800000000008</v>
      </c>
      <c r="I310" s="656">
        <v>122.81</v>
      </c>
      <c r="J310" s="656">
        <f t="shared" ref="J310" si="113">IF(ISBLANK(I310),"",SUM(H310:I310))</f>
        <v>183.69080000000002</v>
      </c>
      <c r="K310" s="606">
        <f t="shared" si="100"/>
        <v>232.83</v>
      </c>
      <c r="L310" s="648" t="s">
        <v>16</v>
      </c>
      <c r="M310" s="697"/>
      <c r="N310" s="698">
        <v>232.83</v>
      </c>
      <c r="O310" s="423">
        <f t="shared" si="98"/>
        <v>0</v>
      </c>
      <c r="P310" s="424">
        <f t="shared" si="99"/>
        <v>0</v>
      </c>
      <c r="Q310" s="288"/>
      <c r="R310" s="243"/>
      <c r="S310" s="378" t="str">
        <f t="shared" si="102"/>
        <v/>
      </c>
    </row>
    <row r="311" spans="2:19" hidden="1" x14ac:dyDescent="0.2">
      <c r="B311" s="731" t="s">
        <v>168</v>
      </c>
      <c r="C311" s="300"/>
      <c r="D311" s="417" t="s">
        <v>249</v>
      </c>
      <c r="E311" s="704"/>
      <c r="F311" s="661">
        <v>180</v>
      </c>
      <c r="G311" s="665"/>
      <c r="H311" s="663">
        <f t="shared" ref="H311" si="114">IF(F311&lt;=30,(1.05*F311+2.18)*G311,((1.05*30+2.18)+0.87*(F311-30))*G311)</f>
        <v>0</v>
      </c>
      <c r="I311" s="380">
        <v>0</v>
      </c>
      <c r="J311" s="380">
        <f t="shared" ref="J311" si="115">IF(ISBLANK(I311),"",SUM(H311:I311))</f>
        <v>0</v>
      </c>
      <c r="K311" s="593">
        <f t="shared" si="100"/>
        <v>0</v>
      </c>
      <c r="L311" s="594" t="s">
        <v>755</v>
      </c>
      <c r="M311" s="699"/>
      <c r="N311" s="419">
        <v>0</v>
      </c>
      <c r="O311" s="287">
        <f t="shared" si="98"/>
        <v>0</v>
      </c>
      <c r="P311" s="384">
        <f t="shared" si="99"/>
        <v>0</v>
      </c>
      <c r="Q311" s="288"/>
      <c r="R311" s="311" t="str">
        <f>IF(P310&gt;0,"xy","")</f>
        <v/>
      </c>
      <c r="S311" s="378" t="str">
        <f t="shared" si="102"/>
        <v/>
      </c>
    </row>
    <row r="312" spans="2:19" hidden="1" x14ac:dyDescent="0.2">
      <c r="B312" s="731" t="s">
        <v>168</v>
      </c>
      <c r="C312" s="300"/>
      <c r="D312" s="417" t="s">
        <v>250</v>
      </c>
      <c r="E312" s="704"/>
      <c r="F312" s="661">
        <v>500</v>
      </c>
      <c r="G312" s="665"/>
      <c r="H312" s="664">
        <f>IF(F312&lt;=30,(0.51*F312+4.28)*G312,((0.51*30+4.28)+0.42*(F312-30))*G312)</f>
        <v>0</v>
      </c>
      <c r="I312" s="380">
        <v>0</v>
      </c>
      <c r="J312" s="380">
        <f t="shared" ref="J312" si="116">IF(ISBLANK(I312),"",SUM(H312:I312))</f>
        <v>0</v>
      </c>
      <c r="K312" s="593">
        <f t="shared" si="100"/>
        <v>0</v>
      </c>
      <c r="L312" s="594" t="s">
        <v>755</v>
      </c>
      <c r="M312" s="699"/>
      <c r="N312" s="419">
        <v>0</v>
      </c>
      <c r="O312" s="287">
        <f t="shared" si="98"/>
        <v>0</v>
      </c>
      <c r="P312" s="384">
        <f t="shared" si="99"/>
        <v>0</v>
      </c>
      <c r="Q312" s="288"/>
      <c r="R312" s="311" t="str">
        <f>IF(P310&gt;0,"xy","")</f>
        <v/>
      </c>
      <c r="S312" s="378" t="str">
        <f t="shared" si="102"/>
        <v/>
      </c>
    </row>
    <row r="313" spans="2:19" hidden="1" x14ac:dyDescent="0.2">
      <c r="B313" s="731" t="s">
        <v>168</v>
      </c>
      <c r="C313" s="300"/>
      <c r="D313" s="417" t="s">
        <v>263</v>
      </c>
      <c r="E313" s="704"/>
      <c r="F313" s="661">
        <v>0.2</v>
      </c>
      <c r="G313" s="665">
        <v>2.12</v>
      </c>
      <c r="H313" s="664">
        <f>IF(F313=0,0,IF(F313&lt;=30,(1.05*F313+2.18)*G313,((1.05*30+2.18)+0.87*(F313-30))*G313))</f>
        <v>5.0668000000000006</v>
      </c>
      <c r="I313" s="380">
        <v>0</v>
      </c>
      <c r="J313" s="380"/>
      <c r="K313" s="593">
        <f t="shared" si="100"/>
        <v>0</v>
      </c>
      <c r="L313" s="594" t="s">
        <v>755</v>
      </c>
      <c r="M313" s="699"/>
      <c r="N313" s="419">
        <v>0</v>
      </c>
      <c r="O313" s="287">
        <f t="shared" si="98"/>
        <v>0</v>
      </c>
      <c r="P313" s="384">
        <f t="shared" si="99"/>
        <v>0</v>
      </c>
      <c r="Q313" s="288"/>
      <c r="R313" s="311" t="str">
        <f>IF(P310&gt;0,"xy","")</f>
        <v/>
      </c>
      <c r="S313" s="378" t="str">
        <f t="shared" si="102"/>
        <v/>
      </c>
    </row>
    <row r="314" spans="2:19" hidden="1" x14ac:dyDescent="0.2">
      <c r="B314" s="731" t="s">
        <v>168</v>
      </c>
      <c r="C314" s="300"/>
      <c r="D314" s="417" t="s">
        <v>264</v>
      </c>
      <c r="E314" s="704"/>
      <c r="F314" s="661">
        <v>20</v>
      </c>
      <c r="G314" s="665">
        <f>SUM(G310:G313)</f>
        <v>2.2000000000000002</v>
      </c>
      <c r="H314" s="664">
        <f>IF(F314&lt;=30,(1.05*F314+4.37)*G314,((1.05*30+4.37)+0.87*(F314-30))*G314)</f>
        <v>55.814000000000007</v>
      </c>
      <c r="I314" s="380">
        <v>0</v>
      </c>
      <c r="J314" s="380"/>
      <c r="K314" s="593">
        <f t="shared" si="100"/>
        <v>0</v>
      </c>
      <c r="L314" s="594" t="s">
        <v>755</v>
      </c>
      <c r="M314" s="699"/>
      <c r="N314" s="703">
        <v>0</v>
      </c>
      <c r="O314" s="287">
        <f t="shared" si="98"/>
        <v>0</v>
      </c>
      <c r="P314" s="384">
        <f t="shared" si="99"/>
        <v>0</v>
      </c>
      <c r="Q314" s="288"/>
      <c r="R314" s="243" t="str">
        <f>IF(P310&gt;0,"xy","")</f>
        <v/>
      </c>
      <c r="S314" s="378" t="str">
        <f t="shared" si="102"/>
        <v/>
      </c>
    </row>
    <row r="315" spans="2:19" ht="13.5" hidden="1" thickBot="1" x14ac:dyDescent="0.25">
      <c r="B315" s="761" t="s">
        <v>1971</v>
      </c>
      <c r="C315" s="753" t="s">
        <v>1947</v>
      </c>
      <c r="D315" s="712" t="s">
        <v>998</v>
      </c>
      <c r="E315" s="718"/>
      <c r="F315" s="666">
        <v>500</v>
      </c>
      <c r="G315" s="667">
        <v>1</v>
      </c>
      <c r="H315" s="663">
        <f>(0.74*F315+36.12)*G315</f>
        <v>406.12</v>
      </c>
      <c r="I315" s="657">
        <v>5048.25</v>
      </c>
      <c r="J315" s="657">
        <f>IF(ISBLANK(I315),"",I315*(1+$F$9)/(1+$F$10))+H315</f>
        <v>5222.5686982248517</v>
      </c>
      <c r="K315" s="619">
        <f t="shared" si="100"/>
        <v>6619.61</v>
      </c>
      <c r="L315" s="649" t="s">
        <v>20</v>
      </c>
      <c r="M315" s="695">
        <f>ROUND(M310*G310,2)</f>
        <v>0</v>
      </c>
      <c r="N315" s="700">
        <v>6619.61</v>
      </c>
      <c r="O315" s="425">
        <f t="shared" si="98"/>
        <v>0</v>
      </c>
      <c r="P315" s="426">
        <f t="shared" si="99"/>
        <v>0</v>
      </c>
      <c r="Q315" s="288"/>
      <c r="R315" s="311" t="str">
        <f>IF(P147&gt;0,"xy","")</f>
        <v/>
      </c>
      <c r="S315" s="378" t="str">
        <f t="shared" si="102"/>
        <v/>
      </c>
    </row>
    <row r="316" spans="2:19" hidden="1" x14ac:dyDescent="0.2">
      <c r="B316" s="760" t="s">
        <v>1768</v>
      </c>
      <c r="C316" s="711" t="s">
        <v>207</v>
      </c>
      <c r="D316" s="716" t="s">
        <v>813</v>
      </c>
      <c r="E316" s="717"/>
      <c r="F316" s="658" t="s">
        <v>805</v>
      </c>
      <c r="G316" s="659">
        <v>0.08</v>
      </c>
      <c r="H316" s="660">
        <f>SUM(H317:H320)</f>
        <v>60.880800000000008</v>
      </c>
      <c r="I316" s="656">
        <v>122.81</v>
      </c>
      <c r="J316" s="656">
        <f t="shared" ref="J316:J352" si="117">IF(ISBLANK(I316),"",SUM(H316:I316))</f>
        <v>183.69080000000002</v>
      </c>
      <c r="K316" s="606">
        <f t="shared" si="100"/>
        <v>232.83</v>
      </c>
      <c r="L316" s="648" t="s">
        <v>16</v>
      </c>
      <c r="M316" s="697"/>
      <c r="N316" s="698">
        <v>232.83</v>
      </c>
      <c r="O316" s="423">
        <f t="shared" si="98"/>
        <v>0</v>
      </c>
      <c r="P316" s="424">
        <f t="shared" si="99"/>
        <v>0</v>
      </c>
      <c r="Q316" s="288"/>
      <c r="R316" s="243"/>
      <c r="S316" s="378" t="str">
        <f t="shared" si="102"/>
        <v/>
      </c>
    </row>
    <row r="317" spans="2:19" hidden="1" x14ac:dyDescent="0.2">
      <c r="B317" s="731" t="s">
        <v>168</v>
      </c>
      <c r="C317" s="300"/>
      <c r="D317" s="417" t="s">
        <v>249</v>
      </c>
      <c r="E317" s="704"/>
      <c r="F317" s="661">
        <v>180</v>
      </c>
      <c r="G317" s="665"/>
      <c r="H317" s="663">
        <f t="shared" ref="H317" si="118">IF(F317&lt;=30,(1.05*F317+2.18)*G317,((1.05*30+2.18)+0.87*(F317-30))*G317)</f>
        <v>0</v>
      </c>
      <c r="I317" s="380">
        <v>0</v>
      </c>
      <c r="J317" s="380">
        <f t="shared" ref="J317" si="119">IF(ISBLANK(I317),"",SUM(H317:I317))</f>
        <v>0</v>
      </c>
      <c r="K317" s="593">
        <f t="shared" si="100"/>
        <v>0</v>
      </c>
      <c r="L317" s="594" t="s">
        <v>755</v>
      </c>
      <c r="M317" s="699"/>
      <c r="N317" s="419">
        <v>0</v>
      </c>
      <c r="O317" s="287">
        <f t="shared" si="98"/>
        <v>0</v>
      </c>
      <c r="P317" s="384">
        <f t="shared" si="99"/>
        <v>0</v>
      </c>
      <c r="Q317" s="288"/>
      <c r="R317" s="311" t="str">
        <f>IF(P316&gt;0,"xy","")</f>
        <v/>
      </c>
      <c r="S317" s="378" t="str">
        <f t="shared" si="102"/>
        <v/>
      </c>
    </row>
    <row r="318" spans="2:19" hidden="1" x14ac:dyDescent="0.2">
      <c r="B318" s="731" t="s">
        <v>168</v>
      </c>
      <c r="C318" s="300"/>
      <c r="D318" s="417" t="s">
        <v>250</v>
      </c>
      <c r="E318" s="704"/>
      <c r="F318" s="661">
        <v>500</v>
      </c>
      <c r="G318" s="665"/>
      <c r="H318" s="664">
        <f>IF(F318&lt;=30,(0.51*F318+4.28)*G318,((0.51*30+4.28)+0.42*(F318-30))*G318)</f>
        <v>0</v>
      </c>
      <c r="I318" s="380">
        <v>0</v>
      </c>
      <c r="J318" s="380">
        <f t="shared" ref="J318" si="120">IF(ISBLANK(I318),"",SUM(H318:I318))</f>
        <v>0</v>
      </c>
      <c r="K318" s="593">
        <f t="shared" si="100"/>
        <v>0</v>
      </c>
      <c r="L318" s="594" t="s">
        <v>755</v>
      </c>
      <c r="M318" s="699"/>
      <c r="N318" s="419">
        <v>0</v>
      </c>
      <c r="O318" s="287">
        <f t="shared" si="98"/>
        <v>0</v>
      </c>
      <c r="P318" s="384">
        <f t="shared" si="99"/>
        <v>0</v>
      </c>
      <c r="Q318" s="288"/>
      <c r="R318" s="311" t="str">
        <f>IF(P316&gt;0,"xy","")</f>
        <v/>
      </c>
      <c r="S318" s="378" t="str">
        <f t="shared" si="102"/>
        <v/>
      </c>
    </row>
    <row r="319" spans="2:19" hidden="1" x14ac:dyDescent="0.2">
      <c r="B319" s="731" t="s">
        <v>168</v>
      </c>
      <c r="C319" s="300"/>
      <c r="D319" s="417" t="s">
        <v>263</v>
      </c>
      <c r="E319" s="704"/>
      <c r="F319" s="661">
        <v>0.2</v>
      </c>
      <c r="G319" s="665">
        <v>2.12</v>
      </c>
      <c r="H319" s="664">
        <f>IF(F319=0,0,IF(F319&lt;=30,(1.05*F319+2.18)*G319,((1.05*30+2.18)+0.87*(F319-30))*G319))</f>
        <v>5.0668000000000006</v>
      </c>
      <c r="I319" s="380">
        <v>0</v>
      </c>
      <c r="J319" s="380"/>
      <c r="K319" s="593">
        <f t="shared" si="100"/>
        <v>0</v>
      </c>
      <c r="L319" s="594" t="s">
        <v>755</v>
      </c>
      <c r="M319" s="699"/>
      <c r="N319" s="419">
        <v>0</v>
      </c>
      <c r="O319" s="287">
        <f t="shared" si="98"/>
        <v>0</v>
      </c>
      <c r="P319" s="384">
        <f t="shared" si="99"/>
        <v>0</v>
      </c>
      <c r="Q319" s="288"/>
      <c r="R319" s="311" t="str">
        <f>IF(P316&gt;0,"xy","")</f>
        <v/>
      </c>
      <c r="S319" s="378" t="str">
        <f t="shared" si="102"/>
        <v/>
      </c>
    </row>
    <row r="320" spans="2:19" hidden="1" x14ac:dyDescent="0.2">
      <c r="B320" s="731" t="s">
        <v>168</v>
      </c>
      <c r="C320" s="300"/>
      <c r="D320" s="417" t="s">
        <v>264</v>
      </c>
      <c r="E320" s="704"/>
      <c r="F320" s="661">
        <v>20</v>
      </c>
      <c r="G320" s="665">
        <f>SUM(G316:G319)</f>
        <v>2.2000000000000002</v>
      </c>
      <c r="H320" s="664">
        <f>IF(F320&lt;=30,(1.05*F320+4.37)*G320,((1.05*30+4.37)+0.87*(F320-30))*G320)</f>
        <v>55.814000000000007</v>
      </c>
      <c r="I320" s="380">
        <v>0</v>
      </c>
      <c r="J320" s="380"/>
      <c r="K320" s="593">
        <f t="shared" si="100"/>
        <v>0</v>
      </c>
      <c r="L320" s="594" t="s">
        <v>755</v>
      </c>
      <c r="M320" s="699"/>
      <c r="N320" s="703">
        <v>0</v>
      </c>
      <c r="O320" s="287">
        <f t="shared" si="98"/>
        <v>0</v>
      </c>
      <c r="P320" s="384">
        <f t="shared" si="99"/>
        <v>0</v>
      </c>
      <c r="Q320" s="288"/>
      <c r="R320" s="243" t="str">
        <f>IF(P316&gt;0,"xy","")</f>
        <v/>
      </c>
      <c r="S320" s="378" t="str">
        <f t="shared" si="102"/>
        <v/>
      </c>
    </row>
    <row r="321" spans="2:19" ht="13.5" hidden="1" thickBot="1" x14ac:dyDescent="0.25">
      <c r="B321" s="761" t="s">
        <v>1972</v>
      </c>
      <c r="C321" s="753" t="s">
        <v>1947</v>
      </c>
      <c r="D321" s="712" t="s">
        <v>998</v>
      </c>
      <c r="E321" s="718"/>
      <c r="F321" s="666">
        <v>500</v>
      </c>
      <c r="G321" s="667">
        <v>1</v>
      </c>
      <c r="H321" s="663">
        <f>(0.74*F321+36.12)*G321</f>
        <v>406.12</v>
      </c>
      <c r="I321" s="657">
        <v>5048.25</v>
      </c>
      <c r="J321" s="657">
        <f>IF(ISBLANK(I321),"",I321*(1+$F$9)/(1+$F$10))+H321</f>
        <v>5222.5686982248517</v>
      </c>
      <c r="K321" s="619">
        <f t="shared" si="100"/>
        <v>6619.61</v>
      </c>
      <c r="L321" s="649" t="s">
        <v>20</v>
      </c>
      <c r="M321" s="695">
        <f>ROUND(M316*G316,2)</f>
        <v>0</v>
      </c>
      <c r="N321" s="700">
        <v>6619.61</v>
      </c>
      <c r="O321" s="425">
        <f t="shared" si="98"/>
        <v>0</v>
      </c>
      <c r="P321" s="426">
        <f t="shared" si="99"/>
        <v>0</v>
      </c>
      <c r="Q321" s="288"/>
      <c r="R321" s="311" t="str">
        <f>IF(P153&gt;0,"xy","")</f>
        <v/>
      </c>
      <c r="S321" s="378" t="str">
        <f t="shared" si="102"/>
        <v/>
      </c>
    </row>
    <row r="322" spans="2:19" hidden="1" x14ac:dyDescent="0.2">
      <c r="B322" s="760" t="s">
        <v>1813</v>
      </c>
      <c r="C322" s="711" t="s">
        <v>207</v>
      </c>
      <c r="D322" s="716" t="s">
        <v>1973</v>
      </c>
      <c r="E322" s="717"/>
      <c r="F322" s="658" t="s">
        <v>805</v>
      </c>
      <c r="G322" s="659">
        <v>0.11</v>
      </c>
      <c r="H322" s="660">
        <f>SUM(H323:H326)</f>
        <v>60.809099999999994</v>
      </c>
      <c r="I322" s="656">
        <v>121.5</v>
      </c>
      <c r="J322" s="656">
        <f t="shared" ref="J322" si="121">IF(ISBLANK(I322),"",SUM(H322:I322))</f>
        <v>182.3091</v>
      </c>
      <c r="K322" s="606">
        <f t="shared" ref="K322:K333" si="122">IF(ISBLANK(I322),0,ROUND(J322*(1+$F$10)*(1+$F$11*E322),2))</f>
        <v>231.08</v>
      </c>
      <c r="L322" s="648" t="s">
        <v>16</v>
      </c>
      <c r="M322" s="697"/>
      <c r="N322" s="698">
        <v>231.08</v>
      </c>
      <c r="O322" s="423">
        <f t="shared" ref="O322:O333" si="123">IF(ISBLANK(M322),0,ROUND(K322*M322,2))</f>
        <v>0</v>
      </c>
      <c r="P322" s="424">
        <f t="shared" ref="P322:P333" si="124">IF(ISBLANK(N322),0,ROUND(M322*N322,2))</f>
        <v>0</v>
      </c>
      <c r="Q322" s="288"/>
      <c r="R322" s="243"/>
      <c r="S322" s="378" t="str">
        <f t="shared" ref="S322:S333" si="125">IF(R322="x","x",IF(R322="y","x",IF(R322="xy","x",IF(P322&gt;0,"x",""))))</f>
        <v/>
      </c>
    </row>
    <row r="323" spans="2:19" hidden="1" x14ac:dyDescent="0.2">
      <c r="B323" s="731" t="s">
        <v>168</v>
      </c>
      <c r="C323" s="300"/>
      <c r="D323" s="417" t="s">
        <v>249</v>
      </c>
      <c r="E323" s="704"/>
      <c r="F323" s="661">
        <v>180</v>
      </c>
      <c r="G323" s="665"/>
      <c r="H323" s="663">
        <f t="shared" ref="H323" si="126">IF(F323&lt;=30,(1.05*F323+2.18)*G323,((1.05*30+2.18)+0.87*(F323-30))*G323)</f>
        <v>0</v>
      </c>
      <c r="I323" s="380">
        <v>0</v>
      </c>
      <c r="J323" s="380"/>
      <c r="K323" s="593">
        <f t="shared" si="122"/>
        <v>0</v>
      </c>
      <c r="L323" s="594" t="s">
        <v>755</v>
      </c>
      <c r="M323" s="699"/>
      <c r="N323" s="419">
        <v>0</v>
      </c>
      <c r="O323" s="287">
        <f t="shared" si="123"/>
        <v>0</v>
      </c>
      <c r="P323" s="384">
        <f t="shared" si="124"/>
        <v>0</v>
      </c>
      <c r="Q323" s="288"/>
      <c r="R323" s="311" t="str">
        <f>IF(P322&gt;0,"xy","")</f>
        <v/>
      </c>
      <c r="S323" s="378" t="str">
        <f t="shared" si="125"/>
        <v/>
      </c>
    </row>
    <row r="324" spans="2:19" hidden="1" x14ac:dyDescent="0.2">
      <c r="B324" s="731" t="s">
        <v>168</v>
      </c>
      <c r="C324" s="300"/>
      <c r="D324" s="417" t="s">
        <v>250</v>
      </c>
      <c r="E324" s="704"/>
      <c r="F324" s="661">
        <v>500</v>
      </c>
      <c r="G324" s="665"/>
      <c r="H324" s="664">
        <f>IF(F324&lt;=30,(0.51*F324+4.28)*G324,((0.51*30+4.28)+0.42*(F324-30))*G324)</f>
        <v>0</v>
      </c>
      <c r="I324" s="380">
        <v>0</v>
      </c>
      <c r="J324" s="380">
        <f t="shared" ref="J324" si="127">IF(ISBLANK(I324),"",SUM(H324:I324))</f>
        <v>0</v>
      </c>
      <c r="K324" s="593">
        <f t="shared" si="122"/>
        <v>0</v>
      </c>
      <c r="L324" s="594" t="s">
        <v>755</v>
      </c>
      <c r="M324" s="699"/>
      <c r="N324" s="419">
        <v>0</v>
      </c>
      <c r="O324" s="287">
        <f t="shared" si="123"/>
        <v>0</v>
      </c>
      <c r="P324" s="384">
        <f t="shared" si="124"/>
        <v>0</v>
      </c>
      <c r="Q324" s="288"/>
      <c r="R324" s="311" t="str">
        <f>IF(P322&gt;0,"xy","")</f>
        <v/>
      </c>
      <c r="S324" s="378" t="str">
        <f t="shared" si="125"/>
        <v/>
      </c>
    </row>
    <row r="325" spans="2:19" hidden="1" x14ac:dyDescent="0.2">
      <c r="B325" s="731" t="s">
        <v>168</v>
      </c>
      <c r="C325" s="300"/>
      <c r="D325" s="417" t="s">
        <v>263</v>
      </c>
      <c r="E325" s="704"/>
      <c r="F325" s="661">
        <v>0.2</v>
      </c>
      <c r="G325" s="665">
        <v>2.09</v>
      </c>
      <c r="H325" s="664">
        <f>IF(F325=0,0,IF(F325&lt;=30,(1.05*F325+2.18)*G325,((1.05*30+2.18)+0.87*(F325-30))*G325))</f>
        <v>4.9950999999999999</v>
      </c>
      <c r="I325" s="380">
        <v>0</v>
      </c>
      <c r="J325" s="380"/>
      <c r="K325" s="593">
        <f t="shared" si="122"/>
        <v>0</v>
      </c>
      <c r="L325" s="594" t="s">
        <v>755</v>
      </c>
      <c r="M325" s="699"/>
      <c r="N325" s="419">
        <v>0</v>
      </c>
      <c r="O325" s="287">
        <f t="shared" si="123"/>
        <v>0</v>
      </c>
      <c r="P325" s="384">
        <f t="shared" si="124"/>
        <v>0</v>
      </c>
      <c r="Q325" s="288"/>
      <c r="R325" s="311" t="str">
        <f>IF(P322&gt;0,"xy","")</f>
        <v/>
      </c>
      <c r="S325" s="378" t="str">
        <f t="shared" si="125"/>
        <v/>
      </c>
    </row>
    <row r="326" spans="2:19" hidden="1" x14ac:dyDescent="0.2">
      <c r="B326" s="731" t="s">
        <v>168</v>
      </c>
      <c r="C326" s="300"/>
      <c r="D326" s="417" t="s">
        <v>264</v>
      </c>
      <c r="E326" s="704"/>
      <c r="F326" s="661">
        <v>20</v>
      </c>
      <c r="G326" s="665">
        <f>SUM(G322:G325)</f>
        <v>2.1999999999999997</v>
      </c>
      <c r="H326" s="664">
        <f>IF(F326&lt;=30,(1.05*F326+4.37)*G326,((1.05*30+4.37)+0.87*(F326-30))*G326)</f>
        <v>55.813999999999993</v>
      </c>
      <c r="I326" s="380">
        <v>0</v>
      </c>
      <c r="J326" s="380"/>
      <c r="K326" s="593">
        <f t="shared" si="122"/>
        <v>0</v>
      </c>
      <c r="L326" s="594" t="s">
        <v>755</v>
      </c>
      <c r="M326" s="699"/>
      <c r="N326" s="703">
        <v>0</v>
      </c>
      <c r="O326" s="287">
        <f t="shared" si="123"/>
        <v>0</v>
      </c>
      <c r="P326" s="384">
        <f t="shared" si="124"/>
        <v>0</v>
      </c>
      <c r="Q326" s="288"/>
      <c r="R326" s="243" t="str">
        <f>IF(P322&gt;0,"xy","")</f>
        <v/>
      </c>
      <c r="S326" s="378" t="str">
        <f t="shared" si="125"/>
        <v/>
      </c>
    </row>
    <row r="327" spans="2:19" ht="13.5" hidden="1" thickBot="1" x14ac:dyDescent="0.25">
      <c r="B327" s="761" t="s">
        <v>1974</v>
      </c>
      <c r="C327" s="753" t="s">
        <v>1947</v>
      </c>
      <c r="D327" s="712" t="s">
        <v>999</v>
      </c>
      <c r="E327" s="718"/>
      <c r="F327" s="666">
        <v>500</v>
      </c>
      <c r="G327" s="667">
        <v>1</v>
      </c>
      <c r="H327" s="663">
        <f>(0.74*F327+36.12)*G327</f>
        <v>406.12</v>
      </c>
      <c r="I327" s="657">
        <v>5048.25</v>
      </c>
      <c r="J327" s="657">
        <f>IF(ISBLANK(I327),"",I327*(1+$F$9)/(1+$F$10))+H327</f>
        <v>5222.5686982248517</v>
      </c>
      <c r="K327" s="619">
        <f t="shared" si="122"/>
        <v>6619.61</v>
      </c>
      <c r="L327" s="649" t="s">
        <v>20</v>
      </c>
      <c r="M327" s="695">
        <f>ROUND(M322*G322,2)</f>
        <v>0</v>
      </c>
      <c r="N327" s="700">
        <v>6619.61</v>
      </c>
      <c r="O327" s="425">
        <f t="shared" si="123"/>
        <v>0</v>
      </c>
      <c r="P327" s="426">
        <f t="shared" si="124"/>
        <v>0</v>
      </c>
      <c r="Q327" s="288"/>
      <c r="R327" s="311" t="str">
        <f>IF(P147&gt;0,"xy","")</f>
        <v/>
      </c>
      <c r="S327" s="378" t="str">
        <f t="shared" si="125"/>
        <v/>
      </c>
    </row>
    <row r="328" spans="2:19" hidden="1" x14ac:dyDescent="0.2">
      <c r="B328" s="760" t="s">
        <v>1814</v>
      </c>
      <c r="C328" s="711" t="s">
        <v>207</v>
      </c>
      <c r="D328" s="716" t="s">
        <v>1975</v>
      </c>
      <c r="E328" s="717"/>
      <c r="F328" s="658" t="s">
        <v>805</v>
      </c>
      <c r="G328" s="659">
        <v>0.11</v>
      </c>
      <c r="H328" s="660">
        <f>SUM(H329:H332)</f>
        <v>60.809099999999994</v>
      </c>
      <c r="I328" s="656">
        <v>121.5</v>
      </c>
      <c r="J328" s="656">
        <f t="shared" ref="J328" si="128">IF(ISBLANK(I328),"",SUM(H328:I328))</f>
        <v>182.3091</v>
      </c>
      <c r="K328" s="606">
        <f t="shared" si="122"/>
        <v>231.08</v>
      </c>
      <c r="L328" s="648" t="s">
        <v>16</v>
      </c>
      <c r="M328" s="697"/>
      <c r="N328" s="698">
        <v>231.08</v>
      </c>
      <c r="O328" s="423">
        <f t="shared" si="123"/>
        <v>0</v>
      </c>
      <c r="P328" s="424">
        <f t="shared" si="124"/>
        <v>0</v>
      </c>
      <c r="Q328" s="288"/>
      <c r="R328" s="243"/>
      <c r="S328" s="378" t="str">
        <f t="shared" si="125"/>
        <v/>
      </c>
    </row>
    <row r="329" spans="2:19" hidden="1" x14ac:dyDescent="0.2">
      <c r="B329" s="731" t="s">
        <v>168</v>
      </c>
      <c r="C329" s="300"/>
      <c r="D329" s="417" t="s">
        <v>249</v>
      </c>
      <c r="E329" s="704"/>
      <c r="F329" s="661">
        <v>180</v>
      </c>
      <c r="G329" s="665"/>
      <c r="H329" s="663">
        <f t="shared" ref="H329" si="129">IF(F329&lt;=30,(1.05*F329+2.18)*G329,((1.05*30+2.18)+0.87*(F329-30))*G329)</f>
        <v>0</v>
      </c>
      <c r="I329" s="380">
        <v>0</v>
      </c>
      <c r="J329" s="380"/>
      <c r="K329" s="593">
        <f t="shared" si="122"/>
        <v>0</v>
      </c>
      <c r="L329" s="594" t="s">
        <v>755</v>
      </c>
      <c r="M329" s="699"/>
      <c r="N329" s="419">
        <v>0</v>
      </c>
      <c r="O329" s="287">
        <f t="shared" si="123"/>
        <v>0</v>
      </c>
      <c r="P329" s="384">
        <f t="shared" si="124"/>
        <v>0</v>
      </c>
      <c r="Q329" s="288"/>
      <c r="R329" s="311" t="str">
        <f>IF(P328&gt;0,"xy","")</f>
        <v/>
      </c>
      <c r="S329" s="378" t="str">
        <f t="shared" si="125"/>
        <v/>
      </c>
    </row>
    <row r="330" spans="2:19" hidden="1" x14ac:dyDescent="0.2">
      <c r="B330" s="731" t="s">
        <v>168</v>
      </c>
      <c r="C330" s="300"/>
      <c r="D330" s="417" t="s">
        <v>250</v>
      </c>
      <c r="E330" s="704"/>
      <c r="F330" s="661">
        <v>500</v>
      </c>
      <c r="G330" s="665"/>
      <c r="H330" s="664">
        <f>IF(F330&lt;=30,(0.51*F330+4.28)*G330,((0.51*30+4.28)+0.42*(F330-30))*G330)</f>
        <v>0</v>
      </c>
      <c r="I330" s="380">
        <v>0</v>
      </c>
      <c r="J330" s="380">
        <f t="shared" ref="J330" si="130">IF(ISBLANK(I330),"",SUM(H330:I330))</f>
        <v>0</v>
      </c>
      <c r="K330" s="593">
        <f t="shared" si="122"/>
        <v>0</v>
      </c>
      <c r="L330" s="594" t="s">
        <v>755</v>
      </c>
      <c r="M330" s="699"/>
      <c r="N330" s="419">
        <v>0</v>
      </c>
      <c r="O330" s="287">
        <f t="shared" si="123"/>
        <v>0</v>
      </c>
      <c r="P330" s="384">
        <f t="shared" si="124"/>
        <v>0</v>
      </c>
      <c r="Q330" s="288"/>
      <c r="R330" s="311" t="str">
        <f>IF(P328&gt;0,"xy","")</f>
        <v/>
      </c>
      <c r="S330" s="378" t="str">
        <f t="shared" si="125"/>
        <v/>
      </c>
    </row>
    <row r="331" spans="2:19" hidden="1" x14ac:dyDescent="0.2">
      <c r="B331" s="731" t="s">
        <v>168</v>
      </c>
      <c r="C331" s="300"/>
      <c r="D331" s="417" t="s">
        <v>263</v>
      </c>
      <c r="E331" s="704"/>
      <c r="F331" s="661">
        <v>0.2</v>
      </c>
      <c r="G331" s="665">
        <v>2.09</v>
      </c>
      <c r="H331" s="664">
        <f>IF(F331=0,0,IF(F331&lt;=30,(1.05*F331+2.18)*G331,((1.05*30+2.18)+0.87*(F331-30))*G331))</f>
        <v>4.9950999999999999</v>
      </c>
      <c r="I331" s="380">
        <v>0</v>
      </c>
      <c r="J331" s="380"/>
      <c r="K331" s="593">
        <f t="shared" si="122"/>
        <v>0</v>
      </c>
      <c r="L331" s="594" t="s">
        <v>755</v>
      </c>
      <c r="M331" s="699"/>
      <c r="N331" s="419">
        <v>0</v>
      </c>
      <c r="O331" s="287">
        <f t="shared" si="123"/>
        <v>0</v>
      </c>
      <c r="P331" s="384">
        <f t="shared" si="124"/>
        <v>0</v>
      </c>
      <c r="Q331" s="288"/>
      <c r="R331" s="311" t="str">
        <f>IF(P328&gt;0,"xy","")</f>
        <v/>
      </c>
      <c r="S331" s="378" t="str">
        <f t="shared" si="125"/>
        <v/>
      </c>
    </row>
    <row r="332" spans="2:19" hidden="1" x14ac:dyDescent="0.2">
      <c r="B332" s="731" t="s">
        <v>168</v>
      </c>
      <c r="C332" s="300"/>
      <c r="D332" s="417" t="s">
        <v>264</v>
      </c>
      <c r="E332" s="704"/>
      <c r="F332" s="661">
        <v>20</v>
      </c>
      <c r="G332" s="665">
        <f>SUM(G328:G331)</f>
        <v>2.1999999999999997</v>
      </c>
      <c r="H332" s="664">
        <f>IF(F332&lt;=30,(1.05*F332+4.37)*G332,((1.05*30+4.37)+0.87*(F332-30))*G332)</f>
        <v>55.813999999999993</v>
      </c>
      <c r="I332" s="380">
        <v>0</v>
      </c>
      <c r="J332" s="380"/>
      <c r="K332" s="593">
        <f t="shared" si="122"/>
        <v>0</v>
      </c>
      <c r="L332" s="594" t="s">
        <v>755</v>
      </c>
      <c r="M332" s="699"/>
      <c r="N332" s="703">
        <v>0</v>
      </c>
      <c r="O332" s="287">
        <f t="shared" si="123"/>
        <v>0</v>
      </c>
      <c r="P332" s="384">
        <f t="shared" si="124"/>
        <v>0</v>
      </c>
      <c r="Q332" s="288"/>
      <c r="R332" s="243" t="str">
        <f>IF(P328&gt;0,"xy","")</f>
        <v/>
      </c>
      <c r="S332" s="378" t="str">
        <f t="shared" si="125"/>
        <v/>
      </c>
    </row>
    <row r="333" spans="2:19" ht="13.5" hidden="1" thickBot="1" x14ac:dyDescent="0.25">
      <c r="B333" s="761" t="s">
        <v>1976</v>
      </c>
      <c r="C333" s="753" t="s">
        <v>1947</v>
      </c>
      <c r="D333" s="712" t="s">
        <v>999</v>
      </c>
      <c r="E333" s="718"/>
      <c r="F333" s="666">
        <v>500</v>
      </c>
      <c r="G333" s="667">
        <v>1</v>
      </c>
      <c r="H333" s="663">
        <f>(0.74*F333+36.12)*G333</f>
        <v>406.12</v>
      </c>
      <c r="I333" s="657">
        <v>5048.25</v>
      </c>
      <c r="J333" s="657">
        <f>IF(ISBLANK(I333),"",I333*(1+$F$9)/(1+$F$10))+H333</f>
        <v>5222.5686982248517</v>
      </c>
      <c r="K333" s="619">
        <f t="shared" si="122"/>
        <v>6619.61</v>
      </c>
      <c r="L333" s="649" t="s">
        <v>20</v>
      </c>
      <c r="M333" s="695">
        <f>ROUND(M328*G328,2)</f>
        <v>0</v>
      </c>
      <c r="N333" s="700">
        <v>6619.61</v>
      </c>
      <c r="O333" s="425">
        <f t="shared" si="123"/>
        <v>0</v>
      </c>
      <c r="P333" s="426">
        <f t="shared" si="124"/>
        <v>0</v>
      </c>
      <c r="Q333" s="288"/>
      <c r="R333" s="311" t="str">
        <f>IF(P153&gt;0,"xy","")</f>
        <v/>
      </c>
      <c r="S333" s="378" t="str">
        <f t="shared" si="125"/>
        <v/>
      </c>
    </row>
    <row r="334" spans="2:19" hidden="1" x14ac:dyDescent="0.2">
      <c r="B334" s="760" t="s">
        <v>1815</v>
      </c>
      <c r="C334" s="711" t="s">
        <v>207</v>
      </c>
      <c r="D334" s="716" t="s">
        <v>1977</v>
      </c>
      <c r="E334" s="717"/>
      <c r="F334" s="658" t="s">
        <v>805</v>
      </c>
      <c r="G334" s="659">
        <v>0.14000000000000001</v>
      </c>
      <c r="H334" s="660">
        <f>SUM(H335:H338)</f>
        <v>107.19669999999999</v>
      </c>
      <c r="I334" s="656">
        <v>121.5</v>
      </c>
      <c r="J334" s="656">
        <f t="shared" si="117"/>
        <v>228.69669999999999</v>
      </c>
      <c r="K334" s="606">
        <f t="shared" si="100"/>
        <v>289.87</v>
      </c>
      <c r="L334" s="648" t="s">
        <v>16</v>
      </c>
      <c r="M334" s="697"/>
      <c r="N334" s="698">
        <v>289.87</v>
      </c>
      <c r="O334" s="423">
        <f t="shared" si="98"/>
        <v>0</v>
      </c>
      <c r="P334" s="424">
        <f t="shared" si="99"/>
        <v>0</v>
      </c>
      <c r="Q334" s="288"/>
      <c r="R334" s="243"/>
      <c r="S334" s="378" t="str">
        <f t="shared" si="102"/>
        <v/>
      </c>
    </row>
    <row r="335" spans="2:19" hidden="1" x14ac:dyDescent="0.2">
      <c r="B335" s="731" t="s">
        <v>168</v>
      </c>
      <c r="C335" s="300"/>
      <c r="D335" s="417" t="s">
        <v>249</v>
      </c>
      <c r="E335" s="704"/>
      <c r="F335" s="661">
        <v>180</v>
      </c>
      <c r="G335" s="665">
        <v>0.27</v>
      </c>
      <c r="H335" s="663">
        <f t="shared" ref="H335" si="131">IF(F335&lt;=30,(1.05*F335+2.18)*G335,((1.05*30+2.18)+0.87*(F335-30))*G335)</f>
        <v>44.328600000000002</v>
      </c>
      <c r="I335" s="380"/>
      <c r="J335" s="380"/>
      <c r="K335" s="593">
        <f t="shared" si="100"/>
        <v>0</v>
      </c>
      <c r="L335" s="594" t="s">
        <v>755</v>
      </c>
      <c r="M335" s="699"/>
      <c r="N335" s="419">
        <v>0</v>
      </c>
      <c r="O335" s="287">
        <f t="shared" si="98"/>
        <v>0</v>
      </c>
      <c r="P335" s="384">
        <f t="shared" si="99"/>
        <v>0</v>
      </c>
      <c r="Q335" s="288"/>
      <c r="R335" s="311" t="str">
        <f>IF(P334&gt;0,"xy","")</f>
        <v/>
      </c>
      <c r="S335" s="378" t="str">
        <f t="shared" si="102"/>
        <v/>
      </c>
    </row>
    <row r="336" spans="2:19" hidden="1" x14ac:dyDescent="0.2">
      <c r="B336" s="731" t="s">
        <v>168</v>
      </c>
      <c r="C336" s="300"/>
      <c r="D336" s="417" t="s">
        <v>250</v>
      </c>
      <c r="E336" s="704"/>
      <c r="F336" s="661">
        <v>500</v>
      </c>
      <c r="G336" s="665"/>
      <c r="H336" s="664">
        <f>IF(F336&lt;=30,(0.51*F336+4.28)*G336,((0.51*30+4.28)+0.42*(F336-30))*G336)</f>
        <v>0</v>
      </c>
      <c r="I336" s="380"/>
      <c r="J336" s="380" t="str">
        <f t="shared" ref="J336" si="132">IF(ISBLANK(I336),"",SUM(H336:I336))</f>
        <v/>
      </c>
      <c r="K336" s="593">
        <f t="shared" si="100"/>
        <v>0</v>
      </c>
      <c r="L336" s="594" t="s">
        <v>755</v>
      </c>
      <c r="M336" s="699"/>
      <c r="N336" s="419">
        <v>0</v>
      </c>
      <c r="O336" s="287">
        <f t="shared" si="98"/>
        <v>0</v>
      </c>
      <c r="P336" s="384">
        <f t="shared" si="99"/>
        <v>0</v>
      </c>
      <c r="Q336" s="288"/>
      <c r="R336" s="311" t="str">
        <f>IF(P334&gt;0,"xy","")</f>
        <v/>
      </c>
      <c r="S336" s="378" t="str">
        <f t="shared" si="102"/>
        <v/>
      </c>
    </row>
    <row r="337" spans="2:19" hidden="1" x14ac:dyDescent="0.2">
      <c r="B337" s="731" t="s">
        <v>168</v>
      </c>
      <c r="C337" s="300"/>
      <c r="D337" s="417" t="s">
        <v>263</v>
      </c>
      <c r="E337" s="704"/>
      <c r="F337" s="661">
        <v>0.2</v>
      </c>
      <c r="G337" s="665">
        <v>1.89</v>
      </c>
      <c r="H337" s="664">
        <f>IF(F337=0,0,IF(F337&lt;=30,(1.05*F337+2.18)*G337,((1.05*30+2.18)+0.87*(F337-30))*G337))</f>
        <v>4.5171000000000001</v>
      </c>
      <c r="I337" s="380"/>
      <c r="J337" s="380"/>
      <c r="K337" s="593">
        <f t="shared" si="100"/>
        <v>0</v>
      </c>
      <c r="L337" s="594" t="s">
        <v>755</v>
      </c>
      <c r="M337" s="699"/>
      <c r="N337" s="419">
        <v>0</v>
      </c>
      <c r="O337" s="287">
        <f t="shared" si="98"/>
        <v>0</v>
      </c>
      <c r="P337" s="384">
        <f t="shared" si="99"/>
        <v>0</v>
      </c>
      <c r="Q337" s="288"/>
      <c r="R337" s="311" t="str">
        <f>IF(P334&gt;0,"xy","")</f>
        <v/>
      </c>
      <c r="S337" s="378" t="str">
        <f t="shared" si="102"/>
        <v/>
      </c>
    </row>
    <row r="338" spans="2:19" hidden="1" x14ac:dyDescent="0.2">
      <c r="B338" s="731" t="s">
        <v>168</v>
      </c>
      <c r="C338" s="300"/>
      <c r="D338" s="417" t="s">
        <v>264</v>
      </c>
      <c r="E338" s="704"/>
      <c r="F338" s="661">
        <v>20</v>
      </c>
      <c r="G338" s="665">
        <f>SUM(G334:G337)</f>
        <v>2.2999999999999998</v>
      </c>
      <c r="H338" s="664">
        <f>IF(F338&lt;=30,(1.05*F338+4.37)*G338,((1.05*30+4.37)+0.87*(F338-30))*G338)</f>
        <v>58.350999999999999</v>
      </c>
      <c r="I338" s="380"/>
      <c r="J338" s="380"/>
      <c r="K338" s="593">
        <f t="shared" si="100"/>
        <v>0</v>
      </c>
      <c r="L338" s="594" t="s">
        <v>755</v>
      </c>
      <c r="M338" s="699"/>
      <c r="N338" s="703">
        <v>0</v>
      </c>
      <c r="O338" s="287">
        <f t="shared" si="98"/>
        <v>0</v>
      </c>
      <c r="P338" s="384">
        <f t="shared" si="99"/>
        <v>0</v>
      </c>
      <c r="Q338" s="288"/>
      <c r="R338" s="243" t="str">
        <f>IF(P334&gt;0,"xy","")</f>
        <v/>
      </c>
      <c r="S338" s="378" t="str">
        <f t="shared" si="102"/>
        <v/>
      </c>
    </row>
    <row r="339" spans="2:19" ht="13.5" hidden="1" thickBot="1" x14ac:dyDescent="0.25">
      <c r="B339" s="761" t="s">
        <v>1978</v>
      </c>
      <c r="C339" s="753" t="s">
        <v>1947</v>
      </c>
      <c r="D339" s="712" t="s">
        <v>999</v>
      </c>
      <c r="E339" s="718"/>
      <c r="F339" s="666">
        <v>500</v>
      </c>
      <c r="G339" s="667">
        <v>1</v>
      </c>
      <c r="H339" s="663">
        <f>(0.74*F339+36.12)*G339</f>
        <v>406.12</v>
      </c>
      <c r="I339" s="657">
        <v>5048.25</v>
      </c>
      <c r="J339" s="657">
        <f>IF(ISBLANK(I339),"",I339*(1+$F$9)/(1+$F$10))+H339</f>
        <v>5222.5686982248517</v>
      </c>
      <c r="K339" s="619">
        <f t="shared" si="100"/>
        <v>6619.61</v>
      </c>
      <c r="L339" s="649" t="s">
        <v>20</v>
      </c>
      <c r="M339" s="695">
        <f>ROUND(M334*G334,2)</f>
        <v>0</v>
      </c>
      <c r="N339" s="700">
        <v>6619.61</v>
      </c>
      <c r="O339" s="425">
        <f t="shared" si="98"/>
        <v>0</v>
      </c>
      <c r="P339" s="426">
        <f t="shared" si="99"/>
        <v>0</v>
      </c>
      <c r="Q339" s="288"/>
      <c r="R339" s="311" t="str">
        <f>IF(P159&gt;0,"xy","")</f>
        <v/>
      </c>
      <c r="S339" s="378" t="str">
        <f t="shared" si="102"/>
        <v/>
      </c>
    </row>
    <row r="340" spans="2:19" hidden="1" x14ac:dyDescent="0.2">
      <c r="B340" s="760" t="s">
        <v>1769</v>
      </c>
      <c r="C340" s="711" t="s">
        <v>207</v>
      </c>
      <c r="D340" s="716" t="s">
        <v>1979</v>
      </c>
      <c r="E340" s="717"/>
      <c r="F340" s="658" t="s">
        <v>805</v>
      </c>
      <c r="G340" s="659">
        <v>0.14000000000000001</v>
      </c>
      <c r="H340" s="660">
        <f>SUM(H341:H344)</f>
        <v>107.19669999999999</v>
      </c>
      <c r="I340" s="656">
        <v>121.5</v>
      </c>
      <c r="J340" s="656">
        <f t="shared" ref="J340" si="133">IF(ISBLANK(I340),"",SUM(H340:I340))</f>
        <v>228.69669999999999</v>
      </c>
      <c r="K340" s="606">
        <f t="shared" si="100"/>
        <v>289.87</v>
      </c>
      <c r="L340" s="648" t="s">
        <v>16</v>
      </c>
      <c r="M340" s="697"/>
      <c r="N340" s="698">
        <v>289.87</v>
      </c>
      <c r="O340" s="423">
        <f t="shared" si="98"/>
        <v>0</v>
      </c>
      <c r="P340" s="424">
        <f t="shared" si="99"/>
        <v>0</v>
      </c>
      <c r="Q340" s="288"/>
      <c r="R340" s="243"/>
      <c r="S340" s="378" t="str">
        <f t="shared" si="102"/>
        <v/>
      </c>
    </row>
    <row r="341" spans="2:19" hidden="1" x14ac:dyDescent="0.2">
      <c r="B341" s="731" t="s">
        <v>168</v>
      </c>
      <c r="C341" s="300"/>
      <c r="D341" s="417" t="s">
        <v>249</v>
      </c>
      <c r="E341" s="704"/>
      <c r="F341" s="661">
        <v>180</v>
      </c>
      <c r="G341" s="665">
        <v>0.27</v>
      </c>
      <c r="H341" s="663">
        <f t="shared" ref="H341" si="134">IF(F341&lt;=30,(1.05*F341+2.18)*G341,((1.05*30+2.18)+0.87*(F341-30))*G341)</f>
        <v>44.328600000000002</v>
      </c>
      <c r="I341" s="380"/>
      <c r="J341" s="380"/>
      <c r="K341" s="593">
        <f t="shared" si="100"/>
        <v>0</v>
      </c>
      <c r="L341" s="594" t="s">
        <v>755</v>
      </c>
      <c r="M341" s="699"/>
      <c r="N341" s="419">
        <v>0</v>
      </c>
      <c r="O341" s="287">
        <f t="shared" si="98"/>
        <v>0</v>
      </c>
      <c r="P341" s="384">
        <f t="shared" si="99"/>
        <v>0</v>
      </c>
      <c r="Q341" s="288"/>
      <c r="R341" s="311" t="str">
        <f>IF(P340&gt;0,"xy","")</f>
        <v/>
      </c>
      <c r="S341" s="378" t="str">
        <f t="shared" si="102"/>
        <v/>
      </c>
    </row>
    <row r="342" spans="2:19" hidden="1" x14ac:dyDescent="0.2">
      <c r="B342" s="731" t="s">
        <v>168</v>
      </c>
      <c r="C342" s="300"/>
      <c r="D342" s="417" t="s">
        <v>250</v>
      </c>
      <c r="E342" s="704"/>
      <c r="F342" s="661">
        <v>500</v>
      </c>
      <c r="G342" s="665"/>
      <c r="H342" s="664">
        <f>IF(F342&lt;=30,(0.51*F342+4.28)*G342,((0.51*30+4.28)+0.42*(F342-30))*G342)</f>
        <v>0</v>
      </c>
      <c r="I342" s="380"/>
      <c r="J342" s="380" t="str">
        <f t="shared" ref="J342" si="135">IF(ISBLANK(I342),"",SUM(H342:I342))</f>
        <v/>
      </c>
      <c r="K342" s="593">
        <f t="shared" si="100"/>
        <v>0</v>
      </c>
      <c r="L342" s="594" t="s">
        <v>755</v>
      </c>
      <c r="M342" s="699"/>
      <c r="N342" s="419">
        <v>0</v>
      </c>
      <c r="O342" s="287">
        <f t="shared" si="98"/>
        <v>0</v>
      </c>
      <c r="P342" s="384">
        <f t="shared" si="99"/>
        <v>0</v>
      </c>
      <c r="Q342" s="288"/>
      <c r="R342" s="311" t="str">
        <f>IF(P340&gt;0,"xy","")</f>
        <v/>
      </c>
      <c r="S342" s="378" t="str">
        <f t="shared" si="102"/>
        <v/>
      </c>
    </row>
    <row r="343" spans="2:19" hidden="1" x14ac:dyDescent="0.2">
      <c r="B343" s="731" t="s">
        <v>168</v>
      </c>
      <c r="C343" s="300"/>
      <c r="D343" s="417" t="s">
        <v>263</v>
      </c>
      <c r="E343" s="704"/>
      <c r="F343" s="661">
        <v>0.2</v>
      </c>
      <c r="G343" s="665">
        <v>1.89</v>
      </c>
      <c r="H343" s="664">
        <f>IF(F343=0,0,IF(F343&lt;=30,(1.05*F343+2.18)*G343,((1.05*30+2.18)+0.87*(F343-30))*G343))</f>
        <v>4.5171000000000001</v>
      </c>
      <c r="I343" s="380"/>
      <c r="J343" s="380"/>
      <c r="K343" s="593">
        <f t="shared" si="100"/>
        <v>0</v>
      </c>
      <c r="L343" s="594" t="s">
        <v>755</v>
      </c>
      <c r="M343" s="699"/>
      <c r="N343" s="419">
        <v>0</v>
      </c>
      <c r="O343" s="287">
        <f t="shared" si="98"/>
        <v>0</v>
      </c>
      <c r="P343" s="384">
        <f t="shared" si="99"/>
        <v>0</v>
      </c>
      <c r="Q343" s="288"/>
      <c r="R343" s="311" t="str">
        <f>IF(P340&gt;0,"xy","")</f>
        <v/>
      </c>
      <c r="S343" s="378" t="str">
        <f t="shared" si="102"/>
        <v/>
      </c>
    </row>
    <row r="344" spans="2:19" hidden="1" x14ac:dyDescent="0.2">
      <c r="B344" s="731" t="s">
        <v>168</v>
      </c>
      <c r="C344" s="300"/>
      <c r="D344" s="417" t="s">
        <v>264</v>
      </c>
      <c r="E344" s="704"/>
      <c r="F344" s="661">
        <v>20</v>
      </c>
      <c r="G344" s="665">
        <f>SUM(G340:G343)</f>
        <v>2.2999999999999998</v>
      </c>
      <c r="H344" s="664">
        <f>IF(F344&lt;=30,(1.05*F344+4.37)*G344,((1.05*30+4.37)+0.87*(F344-30))*G344)</f>
        <v>58.350999999999999</v>
      </c>
      <c r="I344" s="380"/>
      <c r="J344" s="380"/>
      <c r="K344" s="593">
        <f t="shared" si="100"/>
        <v>0</v>
      </c>
      <c r="L344" s="594" t="s">
        <v>755</v>
      </c>
      <c r="M344" s="699"/>
      <c r="N344" s="703">
        <v>0</v>
      </c>
      <c r="O344" s="287">
        <f t="shared" si="98"/>
        <v>0</v>
      </c>
      <c r="P344" s="384">
        <f t="shared" si="99"/>
        <v>0</v>
      </c>
      <c r="Q344" s="288"/>
      <c r="R344" s="243" t="str">
        <f>IF(P340&gt;0,"xy","")</f>
        <v/>
      </c>
      <c r="S344" s="378" t="str">
        <f t="shared" si="102"/>
        <v/>
      </c>
    </row>
    <row r="345" spans="2:19" ht="13.5" hidden="1" thickBot="1" x14ac:dyDescent="0.25">
      <c r="B345" s="761" t="s">
        <v>1980</v>
      </c>
      <c r="C345" s="753" t="s">
        <v>1947</v>
      </c>
      <c r="D345" s="712" t="s">
        <v>999</v>
      </c>
      <c r="E345" s="718"/>
      <c r="F345" s="666">
        <v>500</v>
      </c>
      <c r="G345" s="667">
        <v>1</v>
      </c>
      <c r="H345" s="663">
        <f>(0.74*F345+36.12)*G345</f>
        <v>406.12</v>
      </c>
      <c r="I345" s="657">
        <v>5048.25</v>
      </c>
      <c r="J345" s="657">
        <f>IF(ISBLANK(I345),"",I345*(1+$F$9)/(1+$F$10))+H345</f>
        <v>5222.5686982248517</v>
      </c>
      <c r="K345" s="619">
        <f t="shared" si="100"/>
        <v>6619.61</v>
      </c>
      <c r="L345" s="649" t="s">
        <v>20</v>
      </c>
      <c r="M345" s="695">
        <f>ROUND(M340*G340,2)</f>
        <v>0</v>
      </c>
      <c r="N345" s="700">
        <v>6619.61</v>
      </c>
      <c r="O345" s="425">
        <f t="shared" si="98"/>
        <v>0</v>
      </c>
      <c r="P345" s="426">
        <f t="shared" si="99"/>
        <v>0</v>
      </c>
      <c r="Q345" s="288"/>
      <c r="R345" s="311" t="str">
        <f>IF(P165&gt;0,"xy","")</f>
        <v/>
      </c>
      <c r="S345" s="378" t="str">
        <f t="shared" si="102"/>
        <v/>
      </c>
    </row>
    <row r="346" spans="2:19" hidden="1" x14ac:dyDescent="0.2">
      <c r="B346" s="760" t="s">
        <v>1770</v>
      </c>
      <c r="C346" s="711" t="s">
        <v>207</v>
      </c>
      <c r="D346" s="716" t="s">
        <v>1000</v>
      </c>
      <c r="E346" s="717"/>
      <c r="F346" s="658" t="s">
        <v>805</v>
      </c>
      <c r="G346" s="659">
        <v>0.18240000000000001</v>
      </c>
      <c r="H346" s="660">
        <f>SUM(H347:H350)</f>
        <v>176.40839099999999</v>
      </c>
      <c r="I346" s="656">
        <v>121.5</v>
      </c>
      <c r="J346" s="656">
        <f t="shared" ref="J346" si="136">IF(ISBLANK(I346),"",SUM(H346:I346))</f>
        <v>297.90839099999999</v>
      </c>
      <c r="K346" s="606">
        <f t="shared" si="100"/>
        <v>377.6</v>
      </c>
      <c r="L346" s="648" t="s">
        <v>20</v>
      </c>
      <c r="M346" s="697"/>
      <c r="N346" s="698">
        <v>377.6</v>
      </c>
      <c r="O346" s="423">
        <f t="shared" si="98"/>
        <v>0</v>
      </c>
      <c r="P346" s="424">
        <f t="shared" si="99"/>
        <v>0</v>
      </c>
      <c r="Q346" s="288"/>
      <c r="R346" s="243"/>
      <c r="S346" s="378" t="str">
        <f t="shared" si="102"/>
        <v/>
      </c>
    </row>
    <row r="347" spans="2:19" hidden="1" x14ac:dyDescent="0.2">
      <c r="B347" s="731" t="s">
        <v>168</v>
      </c>
      <c r="C347" s="300"/>
      <c r="D347" s="417" t="s">
        <v>249</v>
      </c>
      <c r="E347" s="704"/>
      <c r="F347" s="661">
        <v>180</v>
      </c>
      <c r="G347" s="665">
        <v>0.56969999999999998</v>
      </c>
      <c r="H347" s="663">
        <f t="shared" ref="H347" si="137">IF(F347&lt;=30,(1.05*F347+2.18)*G347,((1.05*30+2.18)+0.87*(F347-30))*G347)</f>
        <v>93.533345999999995</v>
      </c>
      <c r="I347" s="380"/>
      <c r="J347" s="380"/>
      <c r="K347" s="593">
        <f t="shared" si="100"/>
        <v>0</v>
      </c>
      <c r="L347" s="651" t="s">
        <v>755</v>
      </c>
      <c r="M347" s="699"/>
      <c r="N347" s="419">
        <v>0</v>
      </c>
      <c r="O347" s="287">
        <f t="shared" si="98"/>
        <v>0</v>
      </c>
      <c r="P347" s="384">
        <f t="shared" si="99"/>
        <v>0</v>
      </c>
      <c r="Q347" s="288"/>
      <c r="R347" s="311" t="str">
        <f>IF(P346&gt;0,"xy","")</f>
        <v/>
      </c>
      <c r="S347" s="378" t="str">
        <f t="shared" si="102"/>
        <v/>
      </c>
    </row>
    <row r="348" spans="2:19" hidden="1" x14ac:dyDescent="0.2">
      <c r="B348" s="731" t="s">
        <v>168</v>
      </c>
      <c r="C348" s="300"/>
      <c r="D348" s="417" t="s">
        <v>250</v>
      </c>
      <c r="E348" s="704"/>
      <c r="F348" s="661">
        <v>500</v>
      </c>
      <c r="G348" s="665">
        <v>8.7599999999999997E-2</v>
      </c>
      <c r="H348" s="664">
        <f>IF(F348&lt;=30,(0.51*F348+4.28)*G348,((0.51*30+4.28)+0.42*(F348-30))*G348)</f>
        <v>19.007448</v>
      </c>
      <c r="I348" s="380"/>
      <c r="J348" s="380"/>
      <c r="K348" s="593">
        <f t="shared" si="100"/>
        <v>0</v>
      </c>
      <c r="L348" s="651" t="s">
        <v>755</v>
      </c>
      <c r="M348" s="699"/>
      <c r="N348" s="419">
        <v>0</v>
      </c>
      <c r="O348" s="287">
        <f t="shared" si="98"/>
        <v>0</v>
      </c>
      <c r="P348" s="384">
        <f t="shared" si="99"/>
        <v>0</v>
      </c>
      <c r="Q348" s="288"/>
      <c r="R348" s="311" t="str">
        <f>IF(P346&gt;0,"xy","")</f>
        <v/>
      </c>
      <c r="S348" s="378" t="str">
        <f t="shared" si="102"/>
        <v/>
      </c>
    </row>
    <row r="349" spans="2:19" hidden="1" x14ac:dyDescent="0.2">
      <c r="B349" s="731" t="s">
        <v>168</v>
      </c>
      <c r="C349" s="300"/>
      <c r="D349" s="417" t="s">
        <v>263</v>
      </c>
      <c r="E349" s="704"/>
      <c r="F349" s="661">
        <v>0.2</v>
      </c>
      <c r="G349" s="665">
        <v>1.5333000000000001</v>
      </c>
      <c r="H349" s="664">
        <f>IF(F349=0,0,IF(F349&lt;=30,(1.05*F349+2.18)*G349,((1.05*30+2.18)+0.87*(F349-30))*G349))</f>
        <v>3.6645870000000005</v>
      </c>
      <c r="I349" s="380"/>
      <c r="J349" s="380"/>
      <c r="K349" s="593">
        <f t="shared" si="100"/>
        <v>0</v>
      </c>
      <c r="L349" s="651" t="s">
        <v>755</v>
      </c>
      <c r="M349" s="699"/>
      <c r="N349" s="419">
        <v>0</v>
      </c>
      <c r="O349" s="287">
        <f t="shared" si="98"/>
        <v>0</v>
      </c>
      <c r="P349" s="384">
        <f t="shared" si="99"/>
        <v>0</v>
      </c>
      <c r="Q349" s="288"/>
      <c r="R349" s="311" t="str">
        <f>IF(P346&gt;0,"xy","")</f>
        <v/>
      </c>
      <c r="S349" s="378" t="str">
        <f t="shared" si="102"/>
        <v/>
      </c>
    </row>
    <row r="350" spans="2:19" hidden="1" x14ac:dyDescent="0.2">
      <c r="B350" s="731" t="s">
        <v>168</v>
      </c>
      <c r="C350" s="300"/>
      <c r="D350" s="417" t="s">
        <v>264</v>
      </c>
      <c r="E350" s="704"/>
      <c r="F350" s="661">
        <v>20</v>
      </c>
      <c r="G350" s="665">
        <f>SUM(G346:G349)</f>
        <v>2.3730000000000002</v>
      </c>
      <c r="H350" s="664">
        <f>IF(F350&lt;=30,(1.05*F350+4.37)*G350,((1.05*30+4.37)+0.87*(F350-30))*G350)</f>
        <v>60.203010000000006</v>
      </c>
      <c r="I350" s="380"/>
      <c r="J350" s="380"/>
      <c r="K350" s="593">
        <f t="shared" si="100"/>
        <v>0</v>
      </c>
      <c r="L350" s="651" t="s">
        <v>755</v>
      </c>
      <c r="M350" s="699"/>
      <c r="N350" s="703">
        <v>0</v>
      </c>
      <c r="O350" s="287">
        <f t="shared" si="98"/>
        <v>0</v>
      </c>
      <c r="P350" s="384">
        <f t="shared" si="99"/>
        <v>0</v>
      </c>
      <c r="Q350" s="288"/>
      <c r="R350" s="243" t="str">
        <f>IF(P346&gt;0,"xy","")</f>
        <v/>
      </c>
      <c r="S350" s="378" t="str">
        <f t="shared" si="102"/>
        <v/>
      </c>
    </row>
    <row r="351" spans="2:19" ht="13.5" hidden="1" thickBot="1" x14ac:dyDescent="0.25">
      <c r="B351" s="761" t="s">
        <v>1981</v>
      </c>
      <c r="C351" s="753" t="s">
        <v>1947</v>
      </c>
      <c r="D351" s="712" t="s">
        <v>1767</v>
      </c>
      <c r="E351" s="718"/>
      <c r="F351" s="666">
        <v>500</v>
      </c>
      <c r="G351" s="667">
        <v>1</v>
      </c>
      <c r="H351" s="663">
        <f>(0.74*F351+36.12)*G351</f>
        <v>406.12</v>
      </c>
      <c r="I351" s="657">
        <v>5048.25</v>
      </c>
      <c r="J351" s="657">
        <f>IF(ISBLANK(I351),"",I351*(1+$F$9)/(1+$F$10))+H351</f>
        <v>5222.5686982248517</v>
      </c>
      <c r="K351" s="619">
        <f t="shared" si="100"/>
        <v>6619.61</v>
      </c>
      <c r="L351" s="649" t="s">
        <v>20</v>
      </c>
      <c r="M351" s="695">
        <f>ROUND(M346*G346,2)</f>
        <v>0</v>
      </c>
      <c r="N351" s="700">
        <v>6619.61</v>
      </c>
      <c r="O351" s="425">
        <f t="shared" si="98"/>
        <v>0</v>
      </c>
      <c r="P351" s="426">
        <f t="shared" si="99"/>
        <v>0</v>
      </c>
      <c r="Q351" s="288"/>
      <c r="R351" s="311" t="str">
        <f>IF(P171&gt;0,"xy","")</f>
        <v/>
      </c>
      <c r="S351" s="378" t="str">
        <f t="shared" si="102"/>
        <v/>
      </c>
    </row>
    <row r="352" spans="2:19" hidden="1" x14ac:dyDescent="0.2">
      <c r="B352" s="760" t="s">
        <v>1816</v>
      </c>
      <c r="C352" s="711" t="s">
        <v>207</v>
      </c>
      <c r="D352" s="719" t="s">
        <v>1001</v>
      </c>
      <c r="E352" s="717"/>
      <c r="F352" s="658" t="s">
        <v>804</v>
      </c>
      <c r="G352" s="659">
        <v>0.04</v>
      </c>
      <c r="H352" s="660">
        <f>SUM(H353:H356)</f>
        <v>31.763249999999999</v>
      </c>
      <c r="I352" s="656">
        <v>172.5</v>
      </c>
      <c r="J352" s="656">
        <f t="shared" si="117"/>
        <v>204.26325</v>
      </c>
      <c r="K352" s="606">
        <f t="shared" si="100"/>
        <v>258.89999999999998</v>
      </c>
      <c r="L352" s="648" t="s">
        <v>20</v>
      </c>
      <c r="M352" s="697"/>
      <c r="N352" s="698">
        <v>258.89999999999998</v>
      </c>
      <c r="O352" s="423">
        <f t="shared" si="98"/>
        <v>0</v>
      </c>
      <c r="P352" s="424">
        <f t="shared" si="99"/>
        <v>0</v>
      </c>
      <c r="Q352" s="288"/>
      <c r="R352" s="243"/>
      <c r="S352" s="378" t="str">
        <f t="shared" si="102"/>
        <v/>
      </c>
    </row>
    <row r="353" spans="2:19" hidden="1" x14ac:dyDescent="0.2">
      <c r="B353" s="731" t="s">
        <v>168</v>
      </c>
      <c r="C353" s="300"/>
      <c r="D353" s="417" t="s">
        <v>249</v>
      </c>
      <c r="E353" s="704"/>
      <c r="F353" s="661">
        <v>180</v>
      </c>
      <c r="G353" s="665">
        <v>0</v>
      </c>
      <c r="H353" s="663">
        <f t="shared" ref="H353" si="138">IF(F353&lt;=30,(1.05*F353+2.18)*G353,((1.05*30+2.18)+0.87*(F353-30))*G353)</f>
        <v>0</v>
      </c>
      <c r="I353" s="380">
        <v>0</v>
      </c>
      <c r="J353" s="380">
        <f t="shared" ref="J353" si="139">IF(ISBLANK(I353),"",SUM(H353:I353))</f>
        <v>0</v>
      </c>
      <c r="K353" s="593">
        <f t="shared" si="100"/>
        <v>0</v>
      </c>
      <c r="L353" s="651" t="s">
        <v>755</v>
      </c>
      <c r="M353" s="699"/>
      <c r="N353" s="419">
        <v>0</v>
      </c>
      <c r="O353" s="287">
        <f t="shared" si="98"/>
        <v>0</v>
      </c>
      <c r="P353" s="384">
        <f t="shared" si="99"/>
        <v>0</v>
      </c>
      <c r="Q353" s="288"/>
      <c r="R353" s="311" t="str">
        <f>IF(P352&gt;0,"xy","")</f>
        <v/>
      </c>
      <c r="S353" s="378" t="str">
        <f t="shared" si="102"/>
        <v/>
      </c>
    </row>
    <row r="354" spans="2:19" hidden="1" x14ac:dyDescent="0.2">
      <c r="B354" s="731" t="s">
        <v>168</v>
      </c>
      <c r="C354" s="300"/>
      <c r="D354" s="417" t="s">
        <v>250</v>
      </c>
      <c r="E354" s="704"/>
      <c r="F354" s="661">
        <v>500</v>
      </c>
      <c r="G354" s="665">
        <v>1.4999999999999999E-2</v>
      </c>
      <c r="H354" s="664">
        <f>IF(F354&lt;=30,(0.51*F354+4.28)*G354,((0.51*30+4.28)+0.42*(F354-30))*G354)</f>
        <v>3.2547000000000001</v>
      </c>
      <c r="I354" s="380">
        <v>0</v>
      </c>
      <c r="J354" s="380"/>
      <c r="K354" s="593">
        <f t="shared" si="100"/>
        <v>0</v>
      </c>
      <c r="L354" s="651" t="s">
        <v>755</v>
      </c>
      <c r="M354" s="699"/>
      <c r="N354" s="419">
        <v>0</v>
      </c>
      <c r="O354" s="287">
        <f t="shared" si="98"/>
        <v>0</v>
      </c>
      <c r="P354" s="384">
        <f t="shared" si="99"/>
        <v>0</v>
      </c>
      <c r="Q354" s="288"/>
      <c r="R354" s="311" t="str">
        <f>IF(P352&gt;0,"xy","")</f>
        <v/>
      </c>
      <c r="S354" s="378" t="str">
        <f t="shared" si="102"/>
        <v/>
      </c>
    </row>
    <row r="355" spans="2:19" hidden="1" x14ac:dyDescent="0.2">
      <c r="B355" s="731" t="s">
        <v>168</v>
      </c>
      <c r="C355" s="300"/>
      <c r="D355" s="417" t="s">
        <v>263</v>
      </c>
      <c r="E355" s="704"/>
      <c r="F355" s="661">
        <v>0.2</v>
      </c>
      <c r="G355" s="665">
        <v>0.94499999999999995</v>
      </c>
      <c r="H355" s="664">
        <f>IF(F355=0,0,IF(F355&lt;=30,(1.05*F355+2.18)*G355,((1.05*30+2.18)+0.87*(F355-30))*G355))</f>
        <v>2.2585500000000001</v>
      </c>
      <c r="I355" s="380">
        <v>0</v>
      </c>
      <c r="J355" s="380"/>
      <c r="K355" s="593">
        <f t="shared" si="100"/>
        <v>0</v>
      </c>
      <c r="L355" s="651" t="s">
        <v>755</v>
      </c>
      <c r="M355" s="699"/>
      <c r="N355" s="419">
        <v>0</v>
      </c>
      <c r="O355" s="287">
        <f t="shared" si="98"/>
        <v>0</v>
      </c>
      <c r="P355" s="384">
        <f t="shared" si="99"/>
        <v>0</v>
      </c>
      <c r="Q355" s="288"/>
      <c r="R355" s="311" t="str">
        <f>IF(P352&gt;0,"xy","")</f>
        <v/>
      </c>
      <c r="S355" s="378" t="str">
        <f t="shared" si="102"/>
        <v/>
      </c>
    </row>
    <row r="356" spans="2:19" hidden="1" x14ac:dyDescent="0.2">
      <c r="B356" s="731" t="s">
        <v>168</v>
      </c>
      <c r="C356" s="300"/>
      <c r="D356" s="417" t="s">
        <v>264</v>
      </c>
      <c r="E356" s="704"/>
      <c r="F356" s="661">
        <v>20</v>
      </c>
      <c r="G356" s="665">
        <v>1</v>
      </c>
      <c r="H356" s="664">
        <f>IF(F356&lt;=30,(1.05*F356+5.25)*G356,((1.05*30+5.25)+0.87*(F356-30))*G356)</f>
        <v>26.25</v>
      </c>
      <c r="I356" s="380">
        <v>0</v>
      </c>
      <c r="J356" s="380"/>
      <c r="K356" s="593">
        <f t="shared" si="100"/>
        <v>0</v>
      </c>
      <c r="L356" s="651" t="s">
        <v>755</v>
      </c>
      <c r="M356" s="699"/>
      <c r="N356" s="419">
        <v>0</v>
      </c>
      <c r="O356" s="287">
        <f t="shared" si="98"/>
        <v>0</v>
      </c>
      <c r="P356" s="384">
        <f t="shared" si="99"/>
        <v>0</v>
      </c>
      <c r="Q356" s="288"/>
      <c r="R356" s="243" t="str">
        <f>IF(P352&gt;0,"xy","")</f>
        <v/>
      </c>
      <c r="S356" s="378" t="str">
        <f t="shared" si="102"/>
        <v/>
      </c>
    </row>
    <row r="357" spans="2:19" ht="13.5" hidden="1" thickBot="1" x14ac:dyDescent="0.25">
      <c r="B357" s="762" t="s">
        <v>1982</v>
      </c>
      <c r="C357" s="371" t="s">
        <v>1947</v>
      </c>
      <c r="D357" s="712" t="s">
        <v>799</v>
      </c>
      <c r="E357" s="720"/>
      <c r="F357" s="672">
        <v>500</v>
      </c>
      <c r="G357" s="667">
        <v>1</v>
      </c>
      <c r="H357" s="668">
        <f>(0.82*F357+40.14)*G357</f>
        <v>450.14</v>
      </c>
      <c r="I357" s="657">
        <v>6287.6</v>
      </c>
      <c r="J357" s="657">
        <f>IF(ISBLANK(I357),"",I357*(1+$F$9)/(1+$F$10))+H357</f>
        <v>6449.0312662721899</v>
      </c>
      <c r="K357" s="619">
        <f t="shared" si="100"/>
        <v>8174.15</v>
      </c>
      <c r="L357" s="649" t="s">
        <v>20</v>
      </c>
      <c r="M357" s="695">
        <f>ROUND(M352*G352,2)</f>
        <v>0</v>
      </c>
      <c r="N357" s="700">
        <v>8174.15</v>
      </c>
      <c r="O357" s="425">
        <f t="shared" ref="O357:O449" si="140">IF(ISBLANK(M357),0,ROUND(K357*M357,2))</f>
        <v>0</v>
      </c>
      <c r="P357" s="426">
        <f t="shared" ref="P357:P449" si="141">IF(ISBLANK(N357),0,ROUND(M357*N357,2))</f>
        <v>0</v>
      </c>
      <c r="Q357" s="288"/>
      <c r="R357" s="311" t="str">
        <f>IF(P177&gt;0,"xy","")</f>
        <v/>
      </c>
      <c r="S357" s="378" t="str">
        <f t="shared" si="102"/>
        <v/>
      </c>
    </row>
    <row r="358" spans="2:19" hidden="1" x14ac:dyDescent="0.2">
      <c r="B358" s="760" t="s">
        <v>1817</v>
      </c>
      <c r="C358" s="711" t="s">
        <v>207</v>
      </c>
      <c r="D358" s="719" t="s">
        <v>1002</v>
      </c>
      <c r="E358" s="717"/>
      <c r="F358" s="658" t="s">
        <v>804</v>
      </c>
      <c r="G358" s="659">
        <v>0.04</v>
      </c>
      <c r="H358" s="660">
        <f>SUM(H359:H362)</f>
        <v>31.763249999999999</v>
      </c>
      <c r="I358" s="656">
        <v>152.49</v>
      </c>
      <c r="J358" s="656">
        <f t="shared" ref="J358:J388" si="142">IF(ISBLANK(I358),"",SUM(H358:I358))</f>
        <v>184.25325000000001</v>
      </c>
      <c r="K358" s="606">
        <f t="shared" ref="K358:K449" si="143">IF(ISBLANK(I358),0,ROUND(J358*(1+$F$10)*(1+$F$11*E358),2))</f>
        <v>233.54</v>
      </c>
      <c r="L358" s="648" t="s">
        <v>20</v>
      </c>
      <c r="M358" s="697"/>
      <c r="N358" s="698">
        <v>233.54</v>
      </c>
      <c r="O358" s="423">
        <f t="shared" si="140"/>
        <v>0</v>
      </c>
      <c r="P358" s="424">
        <f t="shared" si="141"/>
        <v>0</v>
      </c>
      <c r="Q358" s="288"/>
      <c r="R358" s="243"/>
      <c r="S358" s="378" t="str">
        <f t="shared" si="102"/>
        <v/>
      </c>
    </row>
    <row r="359" spans="2:19" hidden="1" x14ac:dyDescent="0.2">
      <c r="B359" s="731" t="s">
        <v>168</v>
      </c>
      <c r="C359" s="300"/>
      <c r="D359" s="417" t="s">
        <v>249</v>
      </c>
      <c r="E359" s="704"/>
      <c r="F359" s="661">
        <v>180</v>
      </c>
      <c r="G359" s="665">
        <v>0</v>
      </c>
      <c r="H359" s="663">
        <f t="shared" ref="H359" si="144">IF(F359&lt;=30,(1.05*F359+2.18)*G359,((1.05*30+2.18)+0.87*(F359-30))*G359)</f>
        <v>0</v>
      </c>
      <c r="I359" s="380">
        <v>0</v>
      </c>
      <c r="J359" s="380">
        <f t="shared" ref="J359" si="145">IF(ISBLANK(I359),"",SUM(H359:I359))</f>
        <v>0</v>
      </c>
      <c r="K359" s="593">
        <f t="shared" si="143"/>
        <v>0</v>
      </c>
      <c r="L359" s="651" t="s">
        <v>755</v>
      </c>
      <c r="M359" s="699"/>
      <c r="N359" s="419">
        <v>0</v>
      </c>
      <c r="O359" s="287">
        <f t="shared" si="140"/>
        <v>0</v>
      </c>
      <c r="P359" s="384">
        <f t="shared" si="141"/>
        <v>0</v>
      </c>
      <c r="Q359" s="288"/>
      <c r="R359" s="311" t="str">
        <f>IF(P358&gt;0,"xy","")</f>
        <v/>
      </c>
      <c r="S359" s="378" t="str">
        <f t="shared" si="102"/>
        <v/>
      </c>
    </row>
    <row r="360" spans="2:19" hidden="1" x14ac:dyDescent="0.2">
      <c r="B360" s="731" t="s">
        <v>168</v>
      </c>
      <c r="C360" s="300"/>
      <c r="D360" s="417" t="s">
        <v>250</v>
      </c>
      <c r="E360" s="704"/>
      <c r="F360" s="661">
        <v>500</v>
      </c>
      <c r="G360" s="665">
        <v>1.4999999999999999E-2</v>
      </c>
      <c r="H360" s="664">
        <f>IF(F360&lt;=30,(0.51*F360+4.28)*G360,((0.51*30+4.28)+0.42*(F360-30))*G360)</f>
        <v>3.2547000000000001</v>
      </c>
      <c r="I360" s="380">
        <v>0</v>
      </c>
      <c r="J360" s="380"/>
      <c r="K360" s="593">
        <f t="shared" si="143"/>
        <v>0</v>
      </c>
      <c r="L360" s="651" t="s">
        <v>755</v>
      </c>
      <c r="M360" s="699"/>
      <c r="N360" s="419">
        <v>0</v>
      </c>
      <c r="O360" s="287">
        <f t="shared" si="140"/>
        <v>0</v>
      </c>
      <c r="P360" s="384">
        <f t="shared" si="141"/>
        <v>0</v>
      </c>
      <c r="Q360" s="288"/>
      <c r="R360" s="311" t="str">
        <f>IF(P358&gt;0,"xy","")</f>
        <v/>
      </c>
      <c r="S360" s="378" t="str">
        <f t="shared" si="102"/>
        <v/>
      </c>
    </row>
    <row r="361" spans="2:19" hidden="1" x14ac:dyDescent="0.2">
      <c r="B361" s="731" t="s">
        <v>168</v>
      </c>
      <c r="C361" s="300"/>
      <c r="D361" s="417" t="s">
        <v>263</v>
      </c>
      <c r="E361" s="704"/>
      <c r="F361" s="661">
        <v>0.2</v>
      </c>
      <c r="G361" s="665">
        <v>0.94499999999999995</v>
      </c>
      <c r="H361" s="664">
        <f>IF(F361=0,0,IF(F361&lt;=30,(1.05*F361+2.18)*G361,((1.05*30+2.18)+0.87*(F361-30))*G361))</f>
        <v>2.2585500000000001</v>
      </c>
      <c r="I361" s="380">
        <v>0</v>
      </c>
      <c r="J361" s="380"/>
      <c r="K361" s="593">
        <f t="shared" si="143"/>
        <v>0</v>
      </c>
      <c r="L361" s="651" t="s">
        <v>755</v>
      </c>
      <c r="M361" s="699"/>
      <c r="N361" s="419">
        <v>0</v>
      </c>
      <c r="O361" s="287">
        <f t="shared" si="140"/>
        <v>0</v>
      </c>
      <c r="P361" s="384">
        <f t="shared" si="141"/>
        <v>0</v>
      </c>
      <c r="Q361" s="288"/>
      <c r="R361" s="311" t="str">
        <f>IF(P358&gt;0,"xy","")</f>
        <v/>
      </c>
      <c r="S361" s="378" t="str">
        <f t="shared" si="102"/>
        <v/>
      </c>
    </row>
    <row r="362" spans="2:19" hidden="1" x14ac:dyDescent="0.2">
      <c r="B362" s="731" t="s">
        <v>168</v>
      </c>
      <c r="C362" s="300"/>
      <c r="D362" s="417" t="s">
        <v>264</v>
      </c>
      <c r="E362" s="704"/>
      <c r="F362" s="661">
        <v>20</v>
      </c>
      <c r="G362" s="665">
        <f>SUM(G358:G361)</f>
        <v>1</v>
      </c>
      <c r="H362" s="664">
        <f>IF(F362&lt;=30,(1.05*F362+5.25)*G362,((1.05*30+5.25)+0.87*(F362-30))*G362)</f>
        <v>26.25</v>
      </c>
      <c r="I362" s="380">
        <v>0</v>
      </c>
      <c r="J362" s="380"/>
      <c r="K362" s="593">
        <f t="shared" si="143"/>
        <v>0</v>
      </c>
      <c r="L362" s="651" t="s">
        <v>755</v>
      </c>
      <c r="M362" s="699"/>
      <c r="N362" s="419">
        <v>0</v>
      </c>
      <c r="O362" s="287">
        <f t="shared" si="140"/>
        <v>0</v>
      </c>
      <c r="P362" s="384">
        <f t="shared" si="141"/>
        <v>0</v>
      </c>
      <c r="Q362" s="288"/>
      <c r="R362" s="243" t="str">
        <f>IF(P358&gt;0,"xy","")</f>
        <v/>
      </c>
      <c r="S362" s="378" t="str">
        <f t="shared" ref="S362:S425" si="146">IF(R362="x","x",IF(R362="y","x",IF(R362="xy","x",IF(P362&gt;0,"x",""))))</f>
        <v/>
      </c>
    </row>
    <row r="363" spans="2:19" ht="13.5" hidden="1" thickBot="1" x14ac:dyDescent="0.25">
      <c r="B363" s="763" t="s">
        <v>1983</v>
      </c>
      <c r="C363" s="753" t="s">
        <v>1947</v>
      </c>
      <c r="D363" s="712" t="s">
        <v>800</v>
      </c>
      <c r="E363" s="718"/>
      <c r="F363" s="672">
        <v>500</v>
      </c>
      <c r="G363" s="667">
        <v>1</v>
      </c>
      <c r="H363" s="668">
        <f>(0.82*F363+40.14)*G363</f>
        <v>450.14</v>
      </c>
      <c r="I363" s="657">
        <v>6287.6</v>
      </c>
      <c r="J363" s="657">
        <f>IF(ISBLANK(I363),"",I363*(1+$F$9)/(1+$F$10))+H363</f>
        <v>6449.0312662721899</v>
      </c>
      <c r="K363" s="619">
        <f t="shared" si="143"/>
        <v>8174.15</v>
      </c>
      <c r="L363" s="649" t="s">
        <v>20</v>
      </c>
      <c r="M363" s="695">
        <f>ROUND(M358*G358,2)</f>
        <v>0</v>
      </c>
      <c r="N363" s="700">
        <v>8174.15</v>
      </c>
      <c r="O363" s="425">
        <f t="shared" si="140"/>
        <v>0</v>
      </c>
      <c r="P363" s="426">
        <f t="shared" si="141"/>
        <v>0</v>
      </c>
      <c r="Q363" s="288"/>
      <c r="R363" s="311" t="str">
        <f>IF(P183&gt;0,"xy","")</f>
        <v/>
      </c>
      <c r="S363" s="378" t="str">
        <f t="shared" si="146"/>
        <v/>
      </c>
    </row>
    <row r="364" spans="2:19" ht="15.75" hidden="1" x14ac:dyDescent="0.2">
      <c r="B364" s="760">
        <v>570140</v>
      </c>
      <c r="C364" s="711" t="s">
        <v>207</v>
      </c>
      <c r="D364" s="721" t="s">
        <v>818</v>
      </c>
      <c r="E364" s="717"/>
      <c r="F364" s="658" t="s">
        <v>804</v>
      </c>
      <c r="G364" s="659">
        <v>0.05</v>
      </c>
      <c r="H364" s="660">
        <f>SUM(H365:H368)</f>
        <v>48.074521000000004</v>
      </c>
      <c r="I364" s="656">
        <v>267.15999999999997</v>
      </c>
      <c r="J364" s="656">
        <f t="shared" ref="J364" si="147">IF(ISBLANK(I364),"",SUM(H364:I364))</f>
        <v>315.23452099999997</v>
      </c>
      <c r="K364" s="606">
        <f t="shared" si="143"/>
        <v>399.56</v>
      </c>
      <c r="L364" s="648" t="s">
        <v>20</v>
      </c>
      <c r="M364" s="697"/>
      <c r="N364" s="698">
        <v>399.56</v>
      </c>
      <c r="O364" s="423">
        <f t="shared" si="140"/>
        <v>0</v>
      </c>
      <c r="P364" s="424">
        <f t="shared" si="141"/>
        <v>0</v>
      </c>
      <c r="Q364" s="288"/>
      <c r="R364" s="243"/>
      <c r="S364" s="378" t="str">
        <f t="shared" si="146"/>
        <v/>
      </c>
    </row>
    <row r="365" spans="2:19" hidden="1" x14ac:dyDescent="0.2">
      <c r="B365" s="731" t="s">
        <v>168</v>
      </c>
      <c r="C365" s="300"/>
      <c r="D365" s="417" t="s">
        <v>249</v>
      </c>
      <c r="E365" s="704"/>
      <c r="F365" s="661">
        <v>180</v>
      </c>
      <c r="G365" s="665">
        <v>0.1007</v>
      </c>
      <c r="H365" s="663">
        <f t="shared" ref="H365" si="148">IF(F365&lt;=30,(1.05*F365+2.18)*G365,((1.05*30+2.18)+0.87*(F365-30))*G365)</f>
        <v>16.532926</v>
      </c>
      <c r="I365" s="380">
        <v>0</v>
      </c>
      <c r="J365" s="380"/>
      <c r="K365" s="593">
        <f t="shared" si="143"/>
        <v>0</v>
      </c>
      <c r="L365" s="651" t="s">
        <v>755</v>
      </c>
      <c r="M365" s="699"/>
      <c r="N365" s="419">
        <v>0</v>
      </c>
      <c r="O365" s="287">
        <f t="shared" si="140"/>
        <v>0</v>
      </c>
      <c r="P365" s="384">
        <f t="shared" si="141"/>
        <v>0</v>
      </c>
      <c r="Q365" s="288"/>
      <c r="R365" s="311" t="str">
        <f>IF(P364&gt;0,"xy","")</f>
        <v/>
      </c>
      <c r="S365" s="378" t="str">
        <f t="shared" si="146"/>
        <v/>
      </c>
    </row>
    <row r="366" spans="2:19" hidden="1" x14ac:dyDescent="0.2">
      <c r="B366" s="731" t="s">
        <v>168</v>
      </c>
      <c r="C366" s="300"/>
      <c r="D366" s="417" t="s">
        <v>250</v>
      </c>
      <c r="E366" s="704"/>
      <c r="F366" s="661">
        <v>500</v>
      </c>
      <c r="G366" s="665">
        <v>1.52E-2</v>
      </c>
      <c r="H366" s="664">
        <f>IF(F366&lt;=30,(0.51*F366+4.28)*G366,((0.51*30+4.28)+0.42*(F366-30))*G366)</f>
        <v>3.2980960000000001</v>
      </c>
      <c r="I366" s="380">
        <v>0</v>
      </c>
      <c r="J366" s="380"/>
      <c r="K366" s="593">
        <f t="shared" si="143"/>
        <v>0</v>
      </c>
      <c r="L366" s="651" t="s">
        <v>755</v>
      </c>
      <c r="M366" s="699"/>
      <c r="N366" s="419">
        <v>0</v>
      </c>
      <c r="O366" s="287">
        <f t="shared" si="140"/>
        <v>0</v>
      </c>
      <c r="P366" s="384">
        <f t="shared" si="141"/>
        <v>0</v>
      </c>
      <c r="Q366" s="288"/>
      <c r="R366" s="311" t="str">
        <f>IF(P364&gt;0,"xy","")</f>
        <v/>
      </c>
      <c r="S366" s="378" t="str">
        <f t="shared" si="146"/>
        <v/>
      </c>
    </row>
    <row r="367" spans="2:19" hidden="1" x14ac:dyDescent="0.2">
      <c r="B367" s="731" t="s">
        <v>168</v>
      </c>
      <c r="C367" s="300"/>
      <c r="D367" s="417" t="s">
        <v>263</v>
      </c>
      <c r="E367" s="704"/>
      <c r="F367" s="661">
        <v>0.2</v>
      </c>
      <c r="G367" s="665">
        <v>0.83409999999999995</v>
      </c>
      <c r="H367" s="664">
        <f>IF(F367=0,0,IF(F367&lt;=30,(1.05*F367+2.18)*G367,((1.05*30+2.18)+0.87*(F367-30))*G367))</f>
        <v>1.9934989999999999</v>
      </c>
      <c r="I367" s="380">
        <v>0</v>
      </c>
      <c r="J367" s="380"/>
      <c r="K367" s="593">
        <f t="shared" si="143"/>
        <v>0</v>
      </c>
      <c r="L367" s="651" t="s">
        <v>755</v>
      </c>
      <c r="M367" s="699"/>
      <c r="N367" s="419">
        <v>0</v>
      </c>
      <c r="O367" s="287">
        <f t="shared" si="140"/>
        <v>0</v>
      </c>
      <c r="P367" s="384">
        <f t="shared" si="141"/>
        <v>0</v>
      </c>
      <c r="Q367" s="288"/>
      <c r="R367" s="311" t="str">
        <f>IF(P364&gt;0,"xy","")</f>
        <v/>
      </c>
      <c r="S367" s="378" t="str">
        <f t="shared" si="146"/>
        <v/>
      </c>
    </row>
    <row r="368" spans="2:19" hidden="1" x14ac:dyDescent="0.2">
      <c r="B368" s="731" t="s">
        <v>168</v>
      </c>
      <c r="C368" s="300"/>
      <c r="D368" s="417" t="s">
        <v>264</v>
      </c>
      <c r="E368" s="704"/>
      <c r="F368" s="661">
        <v>20</v>
      </c>
      <c r="G368" s="665">
        <f>SUM(G364:G367)</f>
        <v>1</v>
      </c>
      <c r="H368" s="664">
        <f>IF(F368&lt;=30,(1.05*F368+5.25)*G368,((1.05*30+5.25)+0.87*(F368-30))*G368)</f>
        <v>26.25</v>
      </c>
      <c r="I368" s="380">
        <v>0</v>
      </c>
      <c r="J368" s="380"/>
      <c r="K368" s="593">
        <f t="shared" si="143"/>
        <v>0</v>
      </c>
      <c r="L368" s="651" t="s">
        <v>755</v>
      </c>
      <c r="M368" s="699"/>
      <c r="N368" s="419">
        <v>0</v>
      </c>
      <c r="O368" s="287">
        <f t="shared" si="140"/>
        <v>0</v>
      </c>
      <c r="P368" s="384">
        <f t="shared" si="141"/>
        <v>0</v>
      </c>
      <c r="Q368" s="288"/>
      <c r="R368" s="243" t="str">
        <f>IF(P364&gt;0,"xy","")</f>
        <v/>
      </c>
      <c r="S368" s="378" t="str">
        <f t="shared" si="146"/>
        <v/>
      </c>
    </row>
    <row r="369" spans="2:19" ht="13.5" hidden="1" thickBot="1" x14ac:dyDescent="0.25">
      <c r="B369" s="763" t="s">
        <v>1984</v>
      </c>
      <c r="C369" s="753" t="s">
        <v>1947</v>
      </c>
      <c r="D369" s="712" t="s">
        <v>801</v>
      </c>
      <c r="E369" s="718"/>
      <c r="F369" s="666">
        <v>500</v>
      </c>
      <c r="G369" s="667">
        <v>1</v>
      </c>
      <c r="H369" s="668">
        <f>(0.82*F369+40.14)*G369</f>
        <v>450.14</v>
      </c>
      <c r="I369" s="657">
        <v>6287.6</v>
      </c>
      <c r="J369" s="657">
        <f>IF(ISBLANK(I369),"",I369*(1+$F$9)/(1+$F$10))+H369</f>
        <v>6449.0312662721899</v>
      </c>
      <c r="K369" s="619">
        <f t="shared" si="143"/>
        <v>8174.15</v>
      </c>
      <c r="L369" s="649" t="s">
        <v>20</v>
      </c>
      <c r="M369" s="695">
        <f>ROUND(M364*G364,2)</f>
        <v>0</v>
      </c>
      <c r="N369" s="700">
        <v>8174.15</v>
      </c>
      <c r="O369" s="425">
        <f t="shared" si="140"/>
        <v>0</v>
      </c>
      <c r="P369" s="426">
        <f t="shared" si="141"/>
        <v>0</v>
      </c>
      <c r="Q369" s="288"/>
      <c r="R369" s="311" t="str">
        <f>IF(P189&gt;0,"xy","")</f>
        <v/>
      </c>
      <c r="S369" s="378" t="str">
        <f t="shared" si="146"/>
        <v/>
      </c>
    </row>
    <row r="370" spans="2:19" ht="15.75" hidden="1" x14ac:dyDescent="0.2">
      <c r="B370" s="760">
        <v>570170</v>
      </c>
      <c r="C370" s="711" t="s">
        <v>207</v>
      </c>
      <c r="D370" s="721" t="s">
        <v>819</v>
      </c>
      <c r="E370" s="717"/>
      <c r="F370" s="658" t="s">
        <v>804</v>
      </c>
      <c r="G370" s="659">
        <v>0.05</v>
      </c>
      <c r="H370" s="660">
        <f>SUM(H371:H374)</f>
        <v>48.074521000000004</v>
      </c>
      <c r="I370" s="656">
        <v>204.6</v>
      </c>
      <c r="J370" s="656">
        <f t="shared" ref="J370" si="149">IF(ISBLANK(I370),"",SUM(H370:I370))</f>
        <v>252.674521</v>
      </c>
      <c r="K370" s="606">
        <f t="shared" si="143"/>
        <v>320.26</v>
      </c>
      <c r="L370" s="648" t="s">
        <v>20</v>
      </c>
      <c r="M370" s="697"/>
      <c r="N370" s="698">
        <v>320.26</v>
      </c>
      <c r="O370" s="423">
        <f t="shared" si="140"/>
        <v>0</v>
      </c>
      <c r="P370" s="424">
        <f t="shared" si="141"/>
        <v>0</v>
      </c>
      <c r="Q370" s="288"/>
      <c r="R370" s="243"/>
      <c r="S370" s="378" t="str">
        <f t="shared" si="146"/>
        <v/>
      </c>
    </row>
    <row r="371" spans="2:19" hidden="1" x14ac:dyDescent="0.2">
      <c r="B371" s="731" t="s">
        <v>168</v>
      </c>
      <c r="C371" s="300"/>
      <c r="D371" s="417" t="s">
        <v>249</v>
      </c>
      <c r="E371" s="704"/>
      <c r="F371" s="661">
        <v>180</v>
      </c>
      <c r="G371" s="665">
        <v>0.1007</v>
      </c>
      <c r="H371" s="663">
        <f t="shared" ref="H371" si="150">IF(F371&lt;=30,(1.05*F371+2.18)*G371,((1.05*30+2.18)+0.87*(F371-30))*G371)</f>
        <v>16.532926</v>
      </c>
      <c r="I371" s="380">
        <v>0</v>
      </c>
      <c r="J371" s="380"/>
      <c r="K371" s="593">
        <f t="shared" si="143"/>
        <v>0</v>
      </c>
      <c r="L371" s="594" t="s">
        <v>755</v>
      </c>
      <c r="M371" s="699"/>
      <c r="N371" s="419">
        <v>0</v>
      </c>
      <c r="O371" s="287">
        <f t="shared" si="140"/>
        <v>0</v>
      </c>
      <c r="P371" s="384">
        <f t="shared" si="141"/>
        <v>0</v>
      </c>
      <c r="Q371" s="288"/>
      <c r="R371" s="311" t="str">
        <f>IF(P370&gt;0,"xy","")</f>
        <v/>
      </c>
      <c r="S371" s="378" t="str">
        <f t="shared" si="146"/>
        <v/>
      </c>
    </row>
    <row r="372" spans="2:19" hidden="1" x14ac:dyDescent="0.2">
      <c r="B372" s="731" t="s">
        <v>168</v>
      </c>
      <c r="C372" s="300"/>
      <c r="D372" s="417" t="s">
        <v>250</v>
      </c>
      <c r="E372" s="704"/>
      <c r="F372" s="661">
        <v>500</v>
      </c>
      <c r="G372" s="665">
        <v>1.52E-2</v>
      </c>
      <c r="H372" s="664">
        <f>IF(F372&lt;=30,(0.51*F372+4.28)*G372,((0.51*30+4.28)+0.42*(F372-30))*G372)</f>
        <v>3.2980960000000001</v>
      </c>
      <c r="I372" s="380">
        <v>0</v>
      </c>
      <c r="J372" s="380"/>
      <c r="K372" s="593">
        <f t="shared" si="143"/>
        <v>0</v>
      </c>
      <c r="L372" s="594" t="s">
        <v>755</v>
      </c>
      <c r="M372" s="699"/>
      <c r="N372" s="419">
        <v>0</v>
      </c>
      <c r="O372" s="287">
        <f t="shared" si="140"/>
        <v>0</v>
      </c>
      <c r="P372" s="384">
        <f t="shared" si="141"/>
        <v>0</v>
      </c>
      <c r="Q372" s="288"/>
      <c r="R372" s="311" t="str">
        <f>IF(P370&gt;0,"xy","")</f>
        <v/>
      </c>
      <c r="S372" s="378" t="str">
        <f t="shared" si="146"/>
        <v/>
      </c>
    </row>
    <row r="373" spans="2:19" hidden="1" x14ac:dyDescent="0.2">
      <c r="B373" s="731" t="s">
        <v>168</v>
      </c>
      <c r="C373" s="300"/>
      <c r="D373" s="417" t="s">
        <v>263</v>
      </c>
      <c r="E373" s="704"/>
      <c r="F373" s="661">
        <v>0.2</v>
      </c>
      <c r="G373" s="665">
        <v>0.83409999999999995</v>
      </c>
      <c r="H373" s="664">
        <f>IF(F373=0,0,IF(F373&lt;=30,(1.05*F373+2.18)*G373,((1.05*30+2.18)+0.87*(F373-30))*G373))</f>
        <v>1.9934989999999999</v>
      </c>
      <c r="I373" s="380">
        <v>0</v>
      </c>
      <c r="J373" s="380"/>
      <c r="K373" s="593">
        <f t="shared" si="143"/>
        <v>0</v>
      </c>
      <c r="L373" s="594" t="s">
        <v>755</v>
      </c>
      <c r="M373" s="699"/>
      <c r="N373" s="419">
        <v>0</v>
      </c>
      <c r="O373" s="287">
        <f t="shared" si="140"/>
        <v>0</v>
      </c>
      <c r="P373" s="384">
        <f t="shared" si="141"/>
        <v>0</v>
      </c>
      <c r="Q373" s="288"/>
      <c r="R373" s="311" t="str">
        <f>IF(P370&gt;0,"xy","")</f>
        <v/>
      </c>
      <c r="S373" s="378" t="str">
        <f t="shared" si="146"/>
        <v/>
      </c>
    </row>
    <row r="374" spans="2:19" hidden="1" x14ac:dyDescent="0.2">
      <c r="B374" s="731" t="s">
        <v>168</v>
      </c>
      <c r="C374" s="300"/>
      <c r="D374" s="417" t="s">
        <v>264</v>
      </c>
      <c r="E374" s="704"/>
      <c r="F374" s="661">
        <v>20</v>
      </c>
      <c r="G374" s="665">
        <f>SUM(G370:G373)</f>
        <v>1</v>
      </c>
      <c r="H374" s="664">
        <f>IF(F374&lt;=30,(1.05*F374+5.25)*G374,((1.05*30+5.25)+0.87*(F374-30))*G374)</f>
        <v>26.25</v>
      </c>
      <c r="I374" s="380">
        <v>0</v>
      </c>
      <c r="J374" s="380"/>
      <c r="K374" s="593">
        <f t="shared" si="143"/>
        <v>0</v>
      </c>
      <c r="L374" s="594" t="s">
        <v>755</v>
      </c>
      <c r="M374" s="699"/>
      <c r="N374" s="419">
        <v>0</v>
      </c>
      <c r="O374" s="287">
        <f t="shared" si="140"/>
        <v>0</v>
      </c>
      <c r="P374" s="384">
        <f t="shared" si="141"/>
        <v>0</v>
      </c>
      <c r="Q374" s="288"/>
      <c r="R374" s="243" t="str">
        <f>IF(P370&gt;0,"xy","")</f>
        <v/>
      </c>
      <c r="S374" s="378" t="str">
        <f t="shared" si="146"/>
        <v/>
      </c>
    </row>
    <row r="375" spans="2:19" ht="13.5" hidden="1" thickBot="1" x14ac:dyDescent="0.25">
      <c r="B375" s="763" t="s">
        <v>1985</v>
      </c>
      <c r="C375" s="753" t="s">
        <v>1947</v>
      </c>
      <c r="D375" s="712" t="s">
        <v>801</v>
      </c>
      <c r="E375" s="718"/>
      <c r="F375" s="666">
        <v>500</v>
      </c>
      <c r="G375" s="667">
        <v>1</v>
      </c>
      <c r="H375" s="668">
        <f>(0.82*F375+40.14)*G375</f>
        <v>450.14</v>
      </c>
      <c r="I375" s="657">
        <v>6287.6</v>
      </c>
      <c r="J375" s="657">
        <f>IF(ISBLANK(I375),"",I375*(1+$F$9)/(1+$F$10))+H375</f>
        <v>6449.0312662721899</v>
      </c>
      <c r="K375" s="619">
        <f t="shared" si="143"/>
        <v>8174.15</v>
      </c>
      <c r="L375" s="649" t="s">
        <v>20</v>
      </c>
      <c r="M375" s="695">
        <f>ROUND(M370*G370,2)</f>
        <v>0</v>
      </c>
      <c r="N375" s="700">
        <v>8174.15</v>
      </c>
      <c r="O375" s="425">
        <f t="shared" si="140"/>
        <v>0</v>
      </c>
      <c r="P375" s="426">
        <f t="shared" si="141"/>
        <v>0</v>
      </c>
      <c r="Q375" s="288"/>
      <c r="R375" s="311" t="str">
        <f>IF(P195&gt;0,"xy","")</f>
        <v/>
      </c>
      <c r="S375" s="378" t="str">
        <f t="shared" si="146"/>
        <v/>
      </c>
    </row>
    <row r="376" spans="2:19" hidden="1" x14ac:dyDescent="0.2">
      <c r="B376" s="760">
        <v>570200</v>
      </c>
      <c r="C376" s="711" t="s">
        <v>207</v>
      </c>
      <c r="D376" s="716" t="s">
        <v>1986</v>
      </c>
      <c r="E376" s="717"/>
      <c r="F376" s="658" t="s">
        <v>804</v>
      </c>
      <c r="G376" s="659">
        <v>4.4999999999999998E-2</v>
      </c>
      <c r="H376" s="660">
        <f>SUM(H377:H380)</f>
        <v>30.959299999999999</v>
      </c>
      <c r="I376" s="656">
        <v>175.75</v>
      </c>
      <c r="J376" s="656">
        <f t="shared" ref="J376" si="151">IF(ISBLANK(I376),"",SUM(H376:I376))</f>
        <v>206.70929999999998</v>
      </c>
      <c r="K376" s="606">
        <f t="shared" si="143"/>
        <v>262</v>
      </c>
      <c r="L376" s="648" t="s">
        <v>20</v>
      </c>
      <c r="M376" s="697"/>
      <c r="N376" s="698">
        <v>262</v>
      </c>
      <c r="O376" s="423">
        <f t="shared" si="140"/>
        <v>0</v>
      </c>
      <c r="P376" s="424">
        <f t="shared" si="141"/>
        <v>0</v>
      </c>
      <c r="Q376" s="288"/>
      <c r="R376" s="243"/>
      <c r="S376" s="378" t="str">
        <f t="shared" si="146"/>
        <v/>
      </c>
    </row>
    <row r="377" spans="2:19" hidden="1" x14ac:dyDescent="0.2">
      <c r="B377" s="731" t="s">
        <v>168</v>
      </c>
      <c r="C377" s="300"/>
      <c r="D377" s="417" t="s">
        <v>249</v>
      </c>
      <c r="E377" s="704"/>
      <c r="F377" s="661">
        <v>180</v>
      </c>
      <c r="G377" s="665">
        <v>1.4999999999999999E-2</v>
      </c>
      <c r="H377" s="663">
        <f t="shared" ref="H377" si="152">IF(F377&lt;=30,(1.05*F377+2.18)*G377,((1.05*30+2.18)+0.87*(F377-30))*G377)</f>
        <v>2.4626999999999999</v>
      </c>
      <c r="I377" s="380">
        <v>0</v>
      </c>
      <c r="J377" s="380"/>
      <c r="K377" s="593">
        <f t="shared" si="143"/>
        <v>0</v>
      </c>
      <c r="L377" s="594" t="s">
        <v>755</v>
      </c>
      <c r="M377" s="699"/>
      <c r="N377" s="419">
        <v>0</v>
      </c>
      <c r="O377" s="287">
        <f t="shared" si="140"/>
        <v>0</v>
      </c>
      <c r="P377" s="384">
        <f t="shared" si="141"/>
        <v>0</v>
      </c>
      <c r="Q377" s="288"/>
      <c r="R377" s="311" t="str">
        <f>IF(P376&gt;0,"xy","")</f>
        <v/>
      </c>
      <c r="S377" s="378" t="str">
        <f t="shared" si="146"/>
        <v/>
      </c>
    </row>
    <row r="378" spans="2:19" hidden="1" x14ac:dyDescent="0.2">
      <c r="B378" s="731" t="s">
        <v>168</v>
      </c>
      <c r="C378" s="300"/>
      <c r="D378" s="417" t="s">
        <v>250</v>
      </c>
      <c r="E378" s="704"/>
      <c r="F378" s="661">
        <v>500</v>
      </c>
      <c r="G378" s="665"/>
      <c r="H378" s="664">
        <f>IF(F378&lt;=30,(0.51*F378+4.28)*G378,((0.51*30+4.28)+0.42*(F378-30))*G378)</f>
        <v>0</v>
      </c>
      <c r="I378" s="380">
        <v>0</v>
      </c>
      <c r="J378" s="380">
        <f t="shared" ref="J378" si="153">IF(ISBLANK(I378),"",SUM(H378:I378))</f>
        <v>0</v>
      </c>
      <c r="K378" s="593">
        <f t="shared" si="143"/>
        <v>0</v>
      </c>
      <c r="L378" s="594" t="s">
        <v>755</v>
      </c>
      <c r="M378" s="699"/>
      <c r="N378" s="419">
        <v>0</v>
      </c>
      <c r="O378" s="287">
        <f t="shared" si="140"/>
        <v>0</v>
      </c>
      <c r="P378" s="384">
        <f t="shared" si="141"/>
        <v>0</v>
      </c>
      <c r="Q378" s="288"/>
      <c r="R378" s="311" t="str">
        <f>IF(P376&gt;0,"xy","")</f>
        <v/>
      </c>
      <c r="S378" s="378" t="str">
        <f t="shared" si="146"/>
        <v/>
      </c>
    </row>
    <row r="379" spans="2:19" hidden="1" x14ac:dyDescent="0.2">
      <c r="B379" s="731" t="s">
        <v>168</v>
      </c>
      <c r="C379" s="300"/>
      <c r="D379" s="417" t="s">
        <v>263</v>
      </c>
      <c r="E379" s="704"/>
      <c r="F379" s="661">
        <v>0.2</v>
      </c>
      <c r="G379" s="665">
        <v>0.94</v>
      </c>
      <c r="H379" s="664">
        <f>IF(F379=0,0,IF(F379&lt;=30,(1.05*F379+2.18)*G379,((1.05*30+2.18)+0.87*(F379-30))*G379))</f>
        <v>2.2465999999999999</v>
      </c>
      <c r="I379" s="380">
        <v>0</v>
      </c>
      <c r="J379" s="380"/>
      <c r="K379" s="593">
        <f t="shared" si="143"/>
        <v>0</v>
      </c>
      <c r="L379" s="594" t="s">
        <v>755</v>
      </c>
      <c r="M379" s="699"/>
      <c r="N379" s="419">
        <v>0</v>
      </c>
      <c r="O379" s="287">
        <f t="shared" si="140"/>
        <v>0</v>
      </c>
      <c r="P379" s="384">
        <f t="shared" si="141"/>
        <v>0</v>
      </c>
      <c r="Q379" s="288"/>
      <c r="R379" s="311" t="str">
        <f>IF(P376&gt;0,"xy","")</f>
        <v/>
      </c>
      <c r="S379" s="378" t="str">
        <f t="shared" si="146"/>
        <v/>
      </c>
    </row>
    <row r="380" spans="2:19" hidden="1" x14ac:dyDescent="0.2">
      <c r="B380" s="731" t="s">
        <v>168</v>
      </c>
      <c r="C380" s="300"/>
      <c r="D380" s="417" t="s">
        <v>264</v>
      </c>
      <c r="E380" s="704"/>
      <c r="F380" s="661">
        <v>20</v>
      </c>
      <c r="G380" s="665">
        <f>SUM(G376:G379)</f>
        <v>1</v>
      </c>
      <c r="H380" s="664">
        <f>IF(F380&lt;=30,(1.05*F380+5.25)*G380,((1.05*30+5.25)+0.87*(F380-30))*G380)</f>
        <v>26.25</v>
      </c>
      <c r="I380" s="380">
        <v>0</v>
      </c>
      <c r="J380" s="380"/>
      <c r="K380" s="593">
        <f t="shared" si="143"/>
        <v>0</v>
      </c>
      <c r="L380" s="594" t="s">
        <v>755</v>
      </c>
      <c r="M380" s="699"/>
      <c r="N380" s="419">
        <v>0</v>
      </c>
      <c r="O380" s="287">
        <f t="shared" si="140"/>
        <v>0</v>
      </c>
      <c r="P380" s="384">
        <f t="shared" si="141"/>
        <v>0</v>
      </c>
      <c r="Q380" s="288"/>
      <c r="R380" s="243" t="str">
        <f>IF(P376&gt;0,"xy","")</f>
        <v/>
      </c>
      <c r="S380" s="378" t="str">
        <f t="shared" si="146"/>
        <v/>
      </c>
    </row>
    <row r="381" spans="2:19" ht="13.5" hidden="1" thickBot="1" x14ac:dyDescent="0.25">
      <c r="B381" s="763" t="s">
        <v>1987</v>
      </c>
      <c r="C381" s="753" t="s">
        <v>1947</v>
      </c>
      <c r="D381" s="712" t="s">
        <v>801</v>
      </c>
      <c r="E381" s="718"/>
      <c r="F381" s="666">
        <v>500</v>
      </c>
      <c r="G381" s="667">
        <v>1</v>
      </c>
      <c r="H381" s="668">
        <f>(0.82*F381+40.14)*G381</f>
        <v>450.14</v>
      </c>
      <c r="I381" s="657">
        <v>6287.6</v>
      </c>
      <c r="J381" s="657">
        <f>IF(ISBLANK(I381),"",I381*(1+$F$9)/(1+$F$10))+H381</f>
        <v>6449.0312662721899</v>
      </c>
      <c r="K381" s="619">
        <f t="shared" si="143"/>
        <v>8174.15</v>
      </c>
      <c r="L381" s="649" t="s">
        <v>20</v>
      </c>
      <c r="M381" s="695">
        <f>ROUND(M376*G376,2)</f>
        <v>0</v>
      </c>
      <c r="N381" s="700">
        <v>8174.15</v>
      </c>
      <c r="O381" s="425">
        <f t="shared" si="140"/>
        <v>0</v>
      </c>
      <c r="P381" s="426">
        <f t="shared" si="141"/>
        <v>0</v>
      </c>
      <c r="Q381" s="288"/>
      <c r="R381" s="311" t="str">
        <f>IF(P201&gt;0,"xy","")</f>
        <v/>
      </c>
      <c r="S381" s="378" t="str">
        <f t="shared" si="146"/>
        <v/>
      </c>
    </row>
    <row r="382" spans="2:19" hidden="1" x14ac:dyDescent="0.2">
      <c r="B382" s="760">
        <v>570210</v>
      </c>
      <c r="C382" s="711" t="s">
        <v>207</v>
      </c>
      <c r="D382" s="716" t="s">
        <v>1988</v>
      </c>
      <c r="E382" s="717"/>
      <c r="F382" s="658" t="s">
        <v>804</v>
      </c>
      <c r="G382" s="659">
        <v>4.4999999999999998E-2</v>
      </c>
      <c r="H382" s="660">
        <f>SUM(H383:H386)</f>
        <v>30.959299999999999</v>
      </c>
      <c r="I382" s="656">
        <v>155.76</v>
      </c>
      <c r="J382" s="656">
        <f t="shared" ref="J382" si="154">IF(ISBLANK(I382),"",SUM(H382:I382))</f>
        <v>186.71929999999998</v>
      </c>
      <c r="K382" s="606">
        <f t="shared" si="143"/>
        <v>236.67</v>
      </c>
      <c r="L382" s="648" t="s">
        <v>20</v>
      </c>
      <c r="M382" s="697"/>
      <c r="N382" s="698">
        <v>236.67</v>
      </c>
      <c r="O382" s="423">
        <f t="shared" si="140"/>
        <v>0</v>
      </c>
      <c r="P382" s="424">
        <f t="shared" si="141"/>
        <v>0</v>
      </c>
      <c r="Q382" s="288"/>
      <c r="R382" s="243"/>
      <c r="S382" s="378" t="str">
        <f t="shared" si="146"/>
        <v/>
      </c>
    </row>
    <row r="383" spans="2:19" hidden="1" x14ac:dyDescent="0.2">
      <c r="B383" s="731" t="s">
        <v>168</v>
      </c>
      <c r="C383" s="300"/>
      <c r="D383" s="417" t="s">
        <v>249</v>
      </c>
      <c r="E383" s="704"/>
      <c r="F383" s="661">
        <v>180</v>
      </c>
      <c r="G383" s="665">
        <v>1.4999999999999999E-2</v>
      </c>
      <c r="H383" s="663">
        <f t="shared" ref="H383" si="155">IF(F383&lt;=30,(1.05*F383+2.18)*G383,((1.05*30+2.18)+0.87*(F383-30))*G383)</f>
        <v>2.4626999999999999</v>
      </c>
      <c r="I383" s="380">
        <v>0</v>
      </c>
      <c r="J383" s="380"/>
      <c r="K383" s="593">
        <f t="shared" si="143"/>
        <v>0</v>
      </c>
      <c r="L383" s="594" t="s">
        <v>755</v>
      </c>
      <c r="M383" s="699"/>
      <c r="N383" s="419">
        <v>0</v>
      </c>
      <c r="O383" s="287">
        <f t="shared" si="140"/>
        <v>0</v>
      </c>
      <c r="P383" s="384">
        <f t="shared" si="141"/>
        <v>0</v>
      </c>
      <c r="Q383" s="288"/>
      <c r="R383" s="311" t="str">
        <f>IF(P382&gt;0,"xy","")</f>
        <v/>
      </c>
      <c r="S383" s="378" t="str">
        <f t="shared" si="146"/>
        <v/>
      </c>
    </row>
    <row r="384" spans="2:19" hidden="1" x14ac:dyDescent="0.2">
      <c r="B384" s="731" t="s">
        <v>168</v>
      </c>
      <c r="C384" s="300"/>
      <c r="D384" s="417" t="s">
        <v>250</v>
      </c>
      <c r="E384" s="704"/>
      <c r="F384" s="661">
        <v>500</v>
      </c>
      <c r="G384" s="665"/>
      <c r="H384" s="664">
        <f>IF(F384&lt;=30,(0.51*F384+4.28)*G384,((0.51*30+4.28)+0.42*(F384-30))*G384)</f>
        <v>0</v>
      </c>
      <c r="I384" s="380">
        <v>0</v>
      </c>
      <c r="J384" s="380">
        <f t="shared" ref="J384" si="156">IF(ISBLANK(I384),"",SUM(H384:I384))</f>
        <v>0</v>
      </c>
      <c r="K384" s="593">
        <f t="shared" si="143"/>
        <v>0</v>
      </c>
      <c r="L384" s="594" t="s">
        <v>755</v>
      </c>
      <c r="M384" s="699"/>
      <c r="N384" s="419">
        <v>0</v>
      </c>
      <c r="O384" s="287">
        <f t="shared" si="140"/>
        <v>0</v>
      </c>
      <c r="P384" s="384">
        <f t="shared" si="141"/>
        <v>0</v>
      </c>
      <c r="Q384" s="288"/>
      <c r="R384" s="311" t="str">
        <f>IF(P382&gt;0,"xy","")</f>
        <v/>
      </c>
      <c r="S384" s="378" t="str">
        <f t="shared" si="146"/>
        <v/>
      </c>
    </row>
    <row r="385" spans="2:19" hidden="1" x14ac:dyDescent="0.2">
      <c r="B385" s="731" t="s">
        <v>168</v>
      </c>
      <c r="C385" s="300"/>
      <c r="D385" s="417" t="s">
        <v>263</v>
      </c>
      <c r="E385" s="704"/>
      <c r="F385" s="661">
        <v>0.2</v>
      </c>
      <c r="G385" s="665">
        <v>0.94</v>
      </c>
      <c r="H385" s="664">
        <f>IF(F385=0,0,IF(F385&lt;=30,(1.05*F385+2.18)*G385,((1.05*30+2.18)+0.87*(F385-30))*G385))</f>
        <v>2.2465999999999999</v>
      </c>
      <c r="I385" s="380">
        <v>0</v>
      </c>
      <c r="J385" s="380"/>
      <c r="K385" s="593">
        <f t="shared" si="143"/>
        <v>0</v>
      </c>
      <c r="L385" s="594" t="s">
        <v>755</v>
      </c>
      <c r="M385" s="699"/>
      <c r="N385" s="419">
        <v>0</v>
      </c>
      <c r="O385" s="287">
        <f t="shared" si="140"/>
        <v>0</v>
      </c>
      <c r="P385" s="384">
        <f t="shared" si="141"/>
        <v>0</v>
      </c>
      <c r="Q385" s="288"/>
      <c r="R385" s="311" t="str">
        <f>IF(P382&gt;0,"xy","")</f>
        <v/>
      </c>
      <c r="S385" s="378" t="str">
        <f t="shared" si="146"/>
        <v/>
      </c>
    </row>
    <row r="386" spans="2:19" hidden="1" x14ac:dyDescent="0.2">
      <c r="B386" s="731" t="s">
        <v>168</v>
      </c>
      <c r="C386" s="300"/>
      <c r="D386" s="417" t="s">
        <v>264</v>
      </c>
      <c r="E386" s="704"/>
      <c r="F386" s="661">
        <v>20</v>
      </c>
      <c r="G386" s="665">
        <f>SUM(G382:G385)</f>
        <v>1</v>
      </c>
      <c r="H386" s="664">
        <f>IF(F386&lt;=30,(1.05*F386+5.25)*G386,((1.05*30+5.25)+0.87*(F386-30))*G386)</f>
        <v>26.25</v>
      </c>
      <c r="I386" s="380">
        <v>0</v>
      </c>
      <c r="J386" s="380"/>
      <c r="K386" s="593">
        <f t="shared" si="143"/>
        <v>0</v>
      </c>
      <c r="L386" s="594" t="s">
        <v>755</v>
      </c>
      <c r="M386" s="699"/>
      <c r="N386" s="419">
        <v>0</v>
      </c>
      <c r="O386" s="287">
        <f t="shared" si="140"/>
        <v>0</v>
      </c>
      <c r="P386" s="384">
        <f t="shared" si="141"/>
        <v>0</v>
      </c>
      <c r="Q386" s="288"/>
      <c r="R386" s="243" t="str">
        <f>IF(P382&gt;0,"xy","")</f>
        <v/>
      </c>
      <c r="S386" s="378" t="str">
        <f t="shared" si="146"/>
        <v/>
      </c>
    </row>
    <row r="387" spans="2:19" ht="13.5" hidden="1" thickBot="1" x14ac:dyDescent="0.25">
      <c r="B387" s="763" t="s">
        <v>1989</v>
      </c>
      <c r="C387" s="753" t="s">
        <v>1947</v>
      </c>
      <c r="D387" s="712" t="s">
        <v>801</v>
      </c>
      <c r="E387" s="718"/>
      <c r="F387" s="666">
        <v>500</v>
      </c>
      <c r="G387" s="667">
        <v>1</v>
      </c>
      <c r="H387" s="668">
        <f>(0.82*F387+40.14)*G387</f>
        <v>450.14</v>
      </c>
      <c r="I387" s="657">
        <v>6287.6</v>
      </c>
      <c r="J387" s="657">
        <f>IF(ISBLANK(I387),"",I387*(1+$F$9)/(1+$F$10))+H387</f>
        <v>6449.0312662721899</v>
      </c>
      <c r="K387" s="619">
        <f t="shared" si="143"/>
        <v>8174.15</v>
      </c>
      <c r="L387" s="649" t="s">
        <v>20</v>
      </c>
      <c r="M387" s="695">
        <f>ROUND(M382*G382,2)</f>
        <v>0</v>
      </c>
      <c r="N387" s="700">
        <v>8174.15</v>
      </c>
      <c r="O387" s="425">
        <f t="shared" si="140"/>
        <v>0</v>
      </c>
      <c r="P387" s="426">
        <f t="shared" si="141"/>
        <v>0</v>
      </c>
      <c r="Q387" s="288"/>
      <c r="R387" s="311" t="str">
        <f>IF(P207&gt;0,"xy","")</f>
        <v/>
      </c>
      <c r="S387" s="378" t="str">
        <f t="shared" si="146"/>
        <v/>
      </c>
    </row>
    <row r="388" spans="2:19" hidden="1" x14ac:dyDescent="0.2">
      <c r="B388" s="760" t="s">
        <v>1990</v>
      </c>
      <c r="C388" s="711" t="s">
        <v>207</v>
      </c>
      <c r="D388" s="716" t="s">
        <v>1991</v>
      </c>
      <c r="E388" s="717"/>
      <c r="F388" s="658" t="s">
        <v>804</v>
      </c>
      <c r="G388" s="659">
        <v>5.7000000000000002E-2</v>
      </c>
      <c r="H388" s="660">
        <f>SUM(H389:H392)</f>
        <v>47.901620000000001</v>
      </c>
      <c r="I388" s="656">
        <v>182.86</v>
      </c>
      <c r="J388" s="656">
        <f t="shared" si="142"/>
        <v>230.76162000000002</v>
      </c>
      <c r="K388" s="606">
        <f t="shared" ref="K388:K411" si="157">IF(ISBLANK(I388),0,ROUND(J388*(1+$F$10)*(1+$F$11*E388),2))</f>
        <v>292.49</v>
      </c>
      <c r="L388" s="648" t="s">
        <v>20</v>
      </c>
      <c r="M388" s="697"/>
      <c r="N388" s="698">
        <v>292.49</v>
      </c>
      <c r="O388" s="423">
        <f t="shared" ref="O388:O411" si="158">IF(ISBLANK(M388),0,ROUND(K388*M388,2))</f>
        <v>0</v>
      </c>
      <c r="P388" s="424">
        <f t="shared" ref="P388:P411" si="159">IF(ISBLANK(N388),0,ROUND(M388*N388,2))</f>
        <v>0</v>
      </c>
      <c r="Q388" s="288"/>
      <c r="R388" s="243"/>
      <c r="S388" s="378" t="str">
        <f t="shared" si="146"/>
        <v/>
      </c>
    </row>
    <row r="389" spans="2:19" hidden="1" x14ac:dyDescent="0.2">
      <c r="B389" s="731" t="s">
        <v>168</v>
      </c>
      <c r="C389" s="300"/>
      <c r="D389" s="417" t="s">
        <v>249</v>
      </c>
      <c r="E389" s="704"/>
      <c r="F389" s="661">
        <v>180</v>
      </c>
      <c r="G389" s="665">
        <v>0.1</v>
      </c>
      <c r="H389" s="663">
        <f t="shared" ref="H389" si="160">IF(F389&lt;=30,(1.05*F389+2.18)*G389,((1.05*30+2.18)+0.87*(F389-30))*G389)</f>
        <v>16.418000000000003</v>
      </c>
      <c r="I389" s="380">
        <v>0</v>
      </c>
      <c r="J389" s="380"/>
      <c r="K389" s="593">
        <f t="shared" si="157"/>
        <v>0</v>
      </c>
      <c r="L389" s="594" t="s">
        <v>755</v>
      </c>
      <c r="M389" s="699"/>
      <c r="N389" s="419">
        <v>0</v>
      </c>
      <c r="O389" s="287">
        <f t="shared" si="158"/>
        <v>0</v>
      </c>
      <c r="P389" s="384">
        <f t="shared" si="159"/>
        <v>0</v>
      </c>
      <c r="Q389" s="288"/>
      <c r="R389" s="311" t="str">
        <f>IF(P388&gt;0,"xy","")</f>
        <v/>
      </c>
      <c r="S389" s="378" t="str">
        <f t="shared" si="146"/>
        <v/>
      </c>
    </row>
    <row r="390" spans="2:19" hidden="1" x14ac:dyDescent="0.2">
      <c r="B390" s="731" t="s">
        <v>168</v>
      </c>
      <c r="C390" s="300"/>
      <c r="D390" s="417" t="s">
        <v>250</v>
      </c>
      <c r="E390" s="704"/>
      <c r="F390" s="661">
        <v>500</v>
      </c>
      <c r="G390" s="665">
        <v>1.4999999999999999E-2</v>
      </c>
      <c r="H390" s="664">
        <f>IF(F390&lt;=30,(0.51*F390+4.28)*G390,((0.51*30+4.28)+0.42*(F390-30))*G390)</f>
        <v>3.2547000000000001</v>
      </c>
      <c r="I390" s="380">
        <v>0</v>
      </c>
      <c r="J390" s="380"/>
      <c r="K390" s="593">
        <f t="shared" si="157"/>
        <v>0</v>
      </c>
      <c r="L390" s="594" t="s">
        <v>755</v>
      </c>
      <c r="M390" s="699"/>
      <c r="N390" s="419">
        <v>0</v>
      </c>
      <c r="O390" s="287">
        <f t="shared" si="158"/>
        <v>0</v>
      </c>
      <c r="P390" s="384">
        <f t="shared" si="159"/>
        <v>0</v>
      </c>
      <c r="Q390" s="288"/>
      <c r="R390" s="311" t="str">
        <f>IF(P388&gt;0,"xy","")</f>
        <v/>
      </c>
      <c r="S390" s="378" t="str">
        <f t="shared" si="146"/>
        <v/>
      </c>
    </row>
    <row r="391" spans="2:19" hidden="1" x14ac:dyDescent="0.2">
      <c r="B391" s="731" t="s">
        <v>168</v>
      </c>
      <c r="C391" s="300"/>
      <c r="D391" s="417" t="s">
        <v>263</v>
      </c>
      <c r="E391" s="704"/>
      <c r="F391" s="661">
        <v>0.2</v>
      </c>
      <c r="G391" s="665">
        <v>0.82799999999999996</v>
      </c>
      <c r="H391" s="664">
        <f>IF(F391=0,0,IF(F391&lt;=30,(1.05*F391+2.18)*G391,((1.05*30+2.18)+0.87*(F391-30))*G391))</f>
        <v>1.97892</v>
      </c>
      <c r="I391" s="380">
        <v>0</v>
      </c>
      <c r="J391" s="380"/>
      <c r="K391" s="593">
        <f t="shared" si="157"/>
        <v>0</v>
      </c>
      <c r="L391" s="594" t="s">
        <v>755</v>
      </c>
      <c r="M391" s="699"/>
      <c r="N391" s="419">
        <v>0</v>
      </c>
      <c r="O391" s="287">
        <f t="shared" si="158"/>
        <v>0</v>
      </c>
      <c r="P391" s="384">
        <f t="shared" si="159"/>
        <v>0</v>
      </c>
      <c r="Q391" s="288"/>
      <c r="R391" s="311" t="str">
        <f>IF(P388&gt;0,"xy","")</f>
        <v/>
      </c>
      <c r="S391" s="378" t="str">
        <f t="shared" si="146"/>
        <v/>
      </c>
    </row>
    <row r="392" spans="2:19" hidden="1" x14ac:dyDescent="0.2">
      <c r="B392" s="731" t="s">
        <v>168</v>
      </c>
      <c r="C392" s="300"/>
      <c r="D392" s="417" t="s">
        <v>264</v>
      </c>
      <c r="E392" s="704"/>
      <c r="F392" s="661">
        <v>20</v>
      </c>
      <c r="G392" s="665">
        <f>SUM(G388:G391)</f>
        <v>1</v>
      </c>
      <c r="H392" s="664">
        <f>IF(F392&lt;=30,(1.05*F392+5.25)*G392,((1.05*30+5.25)+0.87*(F392-30))*G392)</f>
        <v>26.25</v>
      </c>
      <c r="I392" s="380">
        <v>0</v>
      </c>
      <c r="J392" s="380"/>
      <c r="K392" s="593">
        <f t="shared" si="157"/>
        <v>0</v>
      </c>
      <c r="L392" s="594" t="s">
        <v>755</v>
      </c>
      <c r="M392" s="699"/>
      <c r="N392" s="419">
        <v>0</v>
      </c>
      <c r="O392" s="287">
        <f t="shared" si="158"/>
        <v>0</v>
      </c>
      <c r="P392" s="384">
        <f t="shared" si="159"/>
        <v>0</v>
      </c>
      <c r="Q392" s="288"/>
      <c r="R392" s="243" t="str">
        <f>IF(P388&gt;0,"xy","")</f>
        <v/>
      </c>
      <c r="S392" s="378" t="str">
        <f t="shared" si="146"/>
        <v/>
      </c>
    </row>
    <row r="393" spans="2:19" ht="13.5" hidden="1" thickBot="1" x14ac:dyDescent="0.25">
      <c r="B393" s="763" t="s">
        <v>1992</v>
      </c>
      <c r="C393" s="753" t="s">
        <v>1947</v>
      </c>
      <c r="D393" s="712" t="s">
        <v>801</v>
      </c>
      <c r="E393" s="718"/>
      <c r="F393" s="666">
        <v>500</v>
      </c>
      <c r="G393" s="667">
        <v>1</v>
      </c>
      <c r="H393" s="668">
        <f>(0.82*F393+40.14)*G393</f>
        <v>450.14</v>
      </c>
      <c r="I393" s="657">
        <v>6287.6</v>
      </c>
      <c r="J393" s="657">
        <f>IF(ISBLANK(I393),"",I393*(1+$F$9)/(1+$F$10))+H393</f>
        <v>6449.0312662721899</v>
      </c>
      <c r="K393" s="619">
        <f t="shared" si="157"/>
        <v>8174.15</v>
      </c>
      <c r="L393" s="649" t="s">
        <v>20</v>
      </c>
      <c r="M393" s="695">
        <f>ROUND(M388*G388,2)</f>
        <v>0</v>
      </c>
      <c r="N393" s="700">
        <v>8174.15</v>
      </c>
      <c r="O393" s="428">
        <f t="shared" si="158"/>
        <v>0</v>
      </c>
      <c r="P393" s="428">
        <f t="shared" si="159"/>
        <v>0</v>
      </c>
      <c r="Q393" s="288"/>
      <c r="R393" s="311" t="str">
        <f>IF(P213&gt;0,"xy","")</f>
        <v/>
      </c>
      <c r="S393" s="378" t="str">
        <f t="shared" si="146"/>
        <v/>
      </c>
    </row>
    <row r="394" spans="2:19" hidden="1" x14ac:dyDescent="0.2">
      <c r="B394" s="760" t="s">
        <v>1993</v>
      </c>
      <c r="C394" s="711" t="s">
        <v>207</v>
      </c>
      <c r="D394" s="716" t="s">
        <v>1994</v>
      </c>
      <c r="E394" s="717"/>
      <c r="F394" s="658" t="s">
        <v>804</v>
      </c>
      <c r="G394" s="659">
        <v>0.05</v>
      </c>
      <c r="H394" s="660">
        <f>SUM(H395:H398)</f>
        <v>48.074521000000004</v>
      </c>
      <c r="I394" s="656">
        <v>182.86</v>
      </c>
      <c r="J394" s="656">
        <f t="shared" ref="J394" si="161">IF(ISBLANK(I394),"",SUM(H394:I394))</f>
        <v>230.93452100000002</v>
      </c>
      <c r="K394" s="606">
        <f t="shared" si="157"/>
        <v>292.70999999999998</v>
      </c>
      <c r="L394" s="648" t="s">
        <v>20</v>
      </c>
      <c r="M394" s="697"/>
      <c r="N394" s="698">
        <v>292.70999999999998</v>
      </c>
      <c r="O394" s="423">
        <f t="shared" si="158"/>
        <v>0</v>
      </c>
      <c r="P394" s="424">
        <f t="shared" si="159"/>
        <v>0</v>
      </c>
      <c r="Q394" s="288"/>
      <c r="R394" s="243"/>
      <c r="S394" s="378" t="str">
        <f t="shared" si="146"/>
        <v/>
      </c>
    </row>
    <row r="395" spans="2:19" hidden="1" x14ac:dyDescent="0.2">
      <c r="B395" s="731" t="s">
        <v>168</v>
      </c>
      <c r="C395" s="300"/>
      <c r="D395" s="417" t="s">
        <v>249</v>
      </c>
      <c r="E395" s="704"/>
      <c r="F395" s="661">
        <v>180</v>
      </c>
      <c r="G395" s="665">
        <v>0.1007</v>
      </c>
      <c r="H395" s="663">
        <f t="shared" ref="H395" si="162">IF(F395&lt;=30,(1.05*F395+2.18)*G395,((1.05*30+2.18)+0.87*(F395-30))*G395)</f>
        <v>16.532926</v>
      </c>
      <c r="I395" s="380">
        <v>0</v>
      </c>
      <c r="J395" s="380"/>
      <c r="K395" s="593">
        <f t="shared" si="157"/>
        <v>0</v>
      </c>
      <c r="L395" s="594" t="s">
        <v>755</v>
      </c>
      <c r="M395" s="699"/>
      <c r="N395" s="419">
        <v>0</v>
      </c>
      <c r="O395" s="287">
        <f t="shared" si="158"/>
        <v>0</v>
      </c>
      <c r="P395" s="384">
        <f t="shared" si="159"/>
        <v>0</v>
      </c>
      <c r="Q395" s="288"/>
      <c r="R395" s="311" t="str">
        <f>IF(P394&gt;0,"xy","")</f>
        <v/>
      </c>
      <c r="S395" s="378" t="str">
        <f t="shared" si="146"/>
        <v/>
      </c>
    </row>
    <row r="396" spans="2:19" hidden="1" x14ac:dyDescent="0.2">
      <c r="B396" s="731" t="s">
        <v>168</v>
      </c>
      <c r="C396" s="300"/>
      <c r="D396" s="417" t="s">
        <v>250</v>
      </c>
      <c r="E396" s="704"/>
      <c r="F396" s="661">
        <v>500</v>
      </c>
      <c r="G396" s="665">
        <v>1.52E-2</v>
      </c>
      <c r="H396" s="664">
        <f>IF(F396&lt;=30,(0.51*F396+4.28)*G396,((0.51*30+4.28)+0.42*(F396-30))*G396)</f>
        <v>3.2980960000000001</v>
      </c>
      <c r="I396" s="380">
        <v>0</v>
      </c>
      <c r="J396" s="380"/>
      <c r="K396" s="593">
        <f t="shared" si="157"/>
        <v>0</v>
      </c>
      <c r="L396" s="594" t="s">
        <v>755</v>
      </c>
      <c r="M396" s="699"/>
      <c r="N396" s="419">
        <v>0</v>
      </c>
      <c r="O396" s="287">
        <f t="shared" si="158"/>
        <v>0</v>
      </c>
      <c r="P396" s="384">
        <f t="shared" si="159"/>
        <v>0</v>
      </c>
      <c r="Q396" s="288"/>
      <c r="R396" s="311" t="str">
        <f>IF(P394&gt;0,"xy","")</f>
        <v/>
      </c>
      <c r="S396" s="378" t="str">
        <f t="shared" si="146"/>
        <v/>
      </c>
    </row>
    <row r="397" spans="2:19" hidden="1" x14ac:dyDescent="0.2">
      <c r="B397" s="731" t="s">
        <v>168</v>
      </c>
      <c r="C397" s="300"/>
      <c r="D397" s="417" t="s">
        <v>263</v>
      </c>
      <c r="E397" s="704"/>
      <c r="F397" s="661">
        <v>0.2</v>
      </c>
      <c r="G397" s="665">
        <v>0.83409999999999995</v>
      </c>
      <c r="H397" s="664">
        <f>IF(F397=0,0,IF(F397&lt;=30,(1.05*F397+2.18)*G397,((1.05*30+2.18)+0.87*(F397-30))*G397))</f>
        <v>1.9934989999999999</v>
      </c>
      <c r="I397" s="380">
        <v>0</v>
      </c>
      <c r="J397" s="380"/>
      <c r="K397" s="593">
        <f t="shared" si="157"/>
        <v>0</v>
      </c>
      <c r="L397" s="594" t="s">
        <v>755</v>
      </c>
      <c r="M397" s="699"/>
      <c r="N397" s="419">
        <v>0</v>
      </c>
      <c r="O397" s="287">
        <f t="shared" si="158"/>
        <v>0</v>
      </c>
      <c r="P397" s="384">
        <f t="shared" si="159"/>
        <v>0</v>
      </c>
      <c r="Q397" s="288"/>
      <c r="R397" s="311" t="str">
        <f>IF(P394&gt;0,"xy","")</f>
        <v/>
      </c>
      <c r="S397" s="378" t="str">
        <f t="shared" si="146"/>
        <v/>
      </c>
    </row>
    <row r="398" spans="2:19" hidden="1" x14ac:dyDescent="0.2">
      <c r="B398" s="731" t="s">
        <v>168</v>
      </c>
      <c r="C398" s="300"/>
      <c r="D398" s="417" t="s">
        <v>264</v>
      </c>
      <c r="E398" s="704"/>
      <c r="F398" s="661">
        <v>20</v>
      </c>
      <c r="G398" s="665">
        <f>SUM(G394:G397)</f>
        <v>1</v>
      </c>
      <c r="H398" s="664">
        <f>IF(F398&lt;=30,(1.05*F398+5.25)*G398,((1.05*30+5.25)+0.87*(F398-30))*G398)</f>
        <v>26.25</v>
      </c>
      <c r="I398" s="380">
        <v>0</v>
      </c>
      <c r="J398" s="380"/>
      <c r="K398" s="593">
        <f t="shared" si="157"/>
        <v>0</v>
      </c>
      <c r="L398" s="594" t="s">
        <v>755</v>
      </c>
      <c r="M398" s="699"/>
      <c r="N398" s="419">
        <v>0</v>
      </c>
      <c r="O398" s="287">
        <f t="shared" si="158"/>
        <v>0</v>
      </c>
      <c r="P398" s="384">
        <f t="shared" si="159"/>
        <v>0</v>
      </c>
      <c r="Q398" s="288"/>
      <c r="R398" s="243" t="str">
        <f>IF(P394&gt;0,"xy","")</f>
        <v/>
      </c>
      <c r="S398" s="378" t="str">
        <f t="shared" si="146"/>
        <v/>
      </c>
    </row>
    <row r="399" spans="2:19" ht="13.5" hidden="1" thickBot="1" x14ac:dyDescent="0.25">
      <c r="B399" s="763" t="s">
        <v>1995</v>
      </c>
      <c r="C399" s="753" t="s">
        <v>1947</v>
      </c>
      <c r="D399" s="712" t="s">
        <v>801</v>
      </c>
      <c r="E399" s="718"/>
      <c r="F399" s="666">
        <v>500</v>
      </c>
      <c r="G399" s="667">
        <v>1</v>
      </c>
      <c r="H399" s="668">
        <f>(0.82*F399+40.14)*G399</f>
        <v>450.14</v>
      </c>
      <c r="I399" s="657">
        <v>6287.6</v>
      </c>
      <c r="J399" s="657">
        <f>IF(ISBLANK(I399),"",I399*(1+$F$9)/(1+$F$10))+H399</f>
        <v>6449.0312662721899</v>
      </c>
      <c r="K399" s="619">
        <f t="shared" si="157"/>
        <v>8174.15</v>
      </c>
      <c r="L399" s="649" t="s">
        <v>20</v>
      </c>
      <c r="M399" s="695">
        <f>ROUND(M394*G394,2)</f>
        <v>0</v>
      </c>
      <c r="N399" s="700">
        <v>8174.15</v>
      </c>
      <c r="O399" s="428">
        <f t="shared" si="158"/>
        <v>0</v>
      </c>
      <c r="P399" s="428">
        <f t="shared" si="159"/>
        <v>0</v>
      </c>
      <c r="Q399" s="288"/>
      <c r="R399" s="311" t="str">
        <f>IF(P219&gt;0,"xy","")</f>
        <v/>
      </c>
      <c r="S399" s="378" t="str">
        <f t="shared" si="146"/>
        <v/>
      </c>
    </row>
    <row r="400" spans="2:19" hidden="1" x14ac:dyDescent="0.2">
      <c r="B400" s="760" t="s">
        <v>1996</v>
      </c>
      <c r="C400" s="711" t="s">
        <v>207</v>
      </c>
      <c r="D400" s="716" t="s">
        <v>1997</v>
      </c>
      <c r="E400" s="717"/>
      <c r="F400" s="658" t="s">
        <v>804</v>
      </c>
      <c r="G400" s="659">
        <v>5.5E-2</v>
      </c>
      <c r="H400" s="660">
        <f>SUM(H401:H404)</f>
        <v>47.960217</v>
      </c>
      <c r="I400" s="656">
        <v>182.86</v>
      </c>
      <c r="J400" s="656">
        <f t="shared" ref="J400" si="163">IF(ISBLANK(I400),"",SUM(H400:I400))</f>
        <v>230.82021700000001</v>
      </c>
      <c r="K400" s="606">
        <f t="shared" si="157"/>
        <v>292.56</v>
      </c>
      <c r="L400" s="648" t="s">
        <v>20</v>
      </c>
      <c r="M400" s="697"/>
      <c r="N400" s="698">
        <v>292.56</v>
      </c>
      <c r="O400" s="423">
        <f t="shared" si="158"/>
        <v>0</v>
      </c>
      <c r="P400" s="424">
        <f t="shared" si="159"/>
        <v>0</v>
      </c>
      <c r="Q400" s="288"/>
      <c r="R400" s="243"/>
      <c r="S400" s="378" t="str">
        <f t="shared" si="146"/>
        <v/>
      </c>
    </row>
    <row r="401" spans="2:19" hidden="1" x14ac:dyDescent="0.2">
      <c r="B401" s="731" t="s">
        <v>168</v>
      </c>
      <c r="C401" s="300"/>
      <c r="D401" s="417" t="s">
        <v>249</v>
      </c>
      <c r="E401" s="704"/>
      <c r="F401" s="661">
        <v>180</v>
      </c>
      <c r="G401" s="665">
        <v>0.1002</v>
      </c>
      <c r="H401" s="663">
        <f t="shared" ref="H401" si="164">IF(F401&lt;=30,(1.05*F401+2.18)*G401,((1.05*30+2.18)+0.87*(F401-30))*G401)</f>
        <v>16.450835999999999</v>
      </c>
      <c r="I401" s="380">
        <v>0</v>
      </c>
      <c r="J401" s="380"/>
      <c r="K401" s="593">
        <f t="shared" si="157"/>
        <v>0</v>
      </c>
      <c r="L401" s="594" t="s">
        <v>755</v>
      </c>
      <c r="M401" s="699"/>
      <c r="N401" s="419">
        <v>0</v>
      </c>
      <c r="O401" s="287">
        <f t="shared" si="158"/>
        <v>0</v>
      </c>
      <c r="P401" s="384">
        <f t="shared" si="159"/>
        <v>0</v>
      </c>
      <c r="Q401" s="288"/>
      <c r="R401" s="311" t="str">
        <f>IF(P400&gt;0,"xy","")</f>
        <v/>
      </c>
      <c r="S401" s="378" t="str">
        <f t="shared" si="146"/>
        <v/>
      </c>
    </row>
    <row r="402" spans="2:19" hidden="1" x14ac:dyDescent="0.2">
      <c r="B402" s="731" t="s">
        <v>168</v>
      </c>
      <c r="C402" s="300"/>
      <c r="D402" s="417" t="s">
        <v>250</v>
      </c>
      <c r="E402" s="704"/>
      <c r="F402" s="661">
        <v>500</v>
      </c>
      <c r="G402" s="665">
        <v>1.5100000000000001E-2</v>
      </c>
      <c r="H402" s="664">
        <f>IF(F402&lt;=30,(0.51*F402+4.28)*G402,((0.51*30+4.28)+0.42*(F402-30))*G402)</f>
        <v>3.2763980000000004</v>
      </c>
      <c r="I402" s="380">
        <v>0</v>
      </c>
      <c r="J402" s="380"/>
      <c r="K402" s="593">
        <f t="shared" si="157"/>
        <v>0</v>
      </c>
      <c r="L402" s="594" t="s">
        <v>755</v>
      </c>
      <c r="M402" s="699"/>
      <c r="N402" s="419">
        <v>0</v>
      </c>
      <c r="O402" s="287">
        <f t="shared" si="158"/>
        <v>0</v>
      </c>
      <c r="P402" s="384">
        <f t="shared" si="159"/>
        <v>0</v>
      </c>
      <c r="Q402" s="288"/>
      <c r="R402" s="311" t="str">
        <f>IF(P400&gt;0,"xy","")</f>
        <v/>
      </c>
      <c r="S402" s="378" t="str">
        <f t="shared" si="146"/>
        <v/>
      </c>
    </row>
    <row r="403" spans="2:19" hidden="1" x14ac:dyDescent="0.2">
      <c r="B403" s="731" t="s">
        <v>168</v>
      </c>
      <c r="C403" s="300"/>
      <c r="D403" s="417" t="s">
        <v>263</v>
      </c>
      <c r="E403" s="704"/>
      <c r="F403" s="661">
        <v>0.2</v>
      </c>
      <c r="G403" s="665">
        <v>0.82969999999999999</v>
      </c>
      <c r="H403" s="664">
        <f>IF(F403=0,0,IF(F403&lt;=30,(1.05*F403+2.18)*G403,((1.05*30+2.18)+0.87*(F403-30))*G403))</f>
        <v>1.9829830000000002</v>
      </c>
      <c r="I403" s="380">
        <v>0</v>
      </c>
      <c r="J403" s="380"/>
      <c r="K403" s="593">
        <f t="shared" si="157"/>
        <v>0</v>
      </c>
      <c r="L403" s="594" t="s">
        <v>755</v>
      </c>
      <c r="M403" s="699"/>
      <c r="N403" s="419">
        <v>0</v>
      </c>
      <c r="O403" s="287">
        <f t="shared" si="158"/>
        <v>0</v>
      </c>
      <c r="P403" s="384">
        <f t="shared" si="159"/>
        <v>0</v>
      </c>
      <c r="Q403" s="288"/>
      <c r="R403" s="311" t="str">
        <f>IF(P400&gt;0,"xy","")</f>
        <v/>
      </c>
      <c r="S403" s="378" t="str">
        <f t="shared" si="146"/>
        <v/>
      </c>
    </row>
    <row r="404" spans="2:19" hidden="1" x14ac:dyDescent="0.2">
      <c r="B404" s="731" t="s">
        <v>168</v>
      </c>
      <c r="C404" s="300"/>
      <c r="D404" s="417" t="s">
        <v>264</v>
      </c>
      <c r="E404" s="704"/>
      <c r="F404" s="661">
        <v>20</v>
      </c>
      <c r="G404" s="665">
        <f>SUM(G400:G403)</f>
        <v>1</v>
      </c>
      <c r="H404" s="664">
        <f>IF(F404&lt;=30,(1.05*F404+5.25)*G404,((1.05*30+5.25)+0.87*(F404-30))*G404)</f>
        <v>26.25</v>
      </c>
      <c r="I404" s="380">
        <v>0</v>
      </c>
      <c r="J404" s="380"/>
      <c r="K404" s="593">
        <f t="shared" si="157"/>
        <v>0</v>
      </c>
      <c r="L404" s="594" t="s">
        <v>755</v>
      </c>
      <c r="M404" s="699"/>
      <c r="N404" s="419">
        <v>0</v>
      </c>
      <c r="O404" s="287">
        <f t="shared" si="158"/>
        <v>0</v>
      </c>
      <c r="P404" s="384">
        <f t="shared" si="159"/>
        <v>0</v>
      </c>
      <c r="Q404" s="288"/>
      <c r="R404" s="243" t="str">
        <f>IF(P400&gt;0,"xy","")</f>
        <v/>
      </c>
      <c r="S404" s="378" t="str">
        <f t="shared" si="146"/>
        <v/>
      </c>
    </row>
    <row r="405" spans="2:19" ht="13.5" hidden="1" thickBot="1" x14ac:dyDescent="0.25">
      <c r="B405" s="763" t="s">
        <v>1998</v>
      </c>
      <c r="C405" s="753" t="s">
        <v>1947</v>
      </c>
      <c r="D405" s="712" t="s">
        <v>801</v>
      </c>
      <c r="E405" s="718"/>
      <c r="F405" s="666">
        <v>500</v>
      </c>
      <c r="G405" s="667">
        <v>1</v>
      </c>
      <c r="H405" s="668">
        <f>(0.82*F405+40.14)*G405</f>
        <v>450.14</v>
      </c>
      <c r="I405" s="657">
        <v>6287.6</v>
      </c>
      <c r="J405" s="657">
        <f>IF(ISBLANK(I405),"",I405*(1+$F$9)/(1+$F$10))+H405</f>
        <v>6449.0312662721899</v>
      </c>
      <c r="K405" s="619">
        <f t="shared" si="157"/>
        <v>8174.15</v>
      </c>
      <c r="L405" s="649" t="s">
        <v>20</v>
      </c>
      <c r="M405" s="695">
        <f>ROUND(M400*G400,2)</f>
        <v>0</v>
      </c>
      <c r="N405" s="700">
        <v>8174.15</v>
      </c>
      <c r="O405" s="428">
        <f t="shared" si="158"/>
        <v>0</v>
      </c>
      <c r="P405" s="428">
        <f t="shared" si="159"/>
        <v>0</v>
      </c>
      <c r="Q405" s="288"/>
      <c r="R405" s="311" t="str">
        <f>IF(P225&gt;0,"xy","")</f>
        <v/>
      </c>
      <c r="S405" s="378" t="str">
        <f t="shared" si="146"/>
        <v/>
      </c>
    </row>
    <row r="406" spans="2:19" x14ac:dyDescent="0.2">
      <c r="B406" s="760" t="s">
        <v>1999</v>
      </c>
      <c r="C406" s="711" t="s">
        <v>207</v>
      </c>
      <c r="D406" s="716" t="s">
        <v>2000</v>
      </c>
      <c r="E406" s="717"/>
      <c r="F406" s="658" t="s">
        <v>804</v>
      </c>
      <c r="G406" s="659">
        <v>5.7000000000000002E-2</v>
      </c>
      <c r="H406" s="660">
        <f>SUM(H407:H410)</f>
        <v>37.496105</v>
      </c>
      <c r="I406" s="656">
        <v>182.86</v>
      </c>
      <c r="J406" s="656">
        <f t="shared" ref="J406" si="165">IF(ISBLANK(I406),"",SUM(H406:I406))</f>
        <v>220.35610500000001</v>
      </c>
      <c r="K406" s="606">
        <f t="shared" si="157"/>
        <v>279.3</v>
      </c>
      <c r="L406" s="648" t="s">
        <v>20</v>
      </c>
      <c r="M406" s="697">
        <v>53.82</v>
      </c>
      <c r="N406" s="698">
        <v>279.3</v>
      </c>
      <c r="O406" s="423">
        <f t="shared" si="158"/>
        <v>15031.93</v>
      </c>
      <c r="P406" s="424">
        <f t="shared" si="159"/>
        <v>15031.93</v>
      </c>
      <c r="Q406" s="288"/>
      <c r="R406" s="243"/>
      <c r="S406" s="378" t="str">
        <f t="shared" si="146"/>
        <v>x</v>
      </c>
    </row>
    <row r="407" spans="2:19" x14ac:dyDescent="0.2">
      <c r="B407" s="731" t="s">
        <v>168</v>
      </c>
      <c r="C407" s="300"/>
      <c r="D407" s="417" t="s">
        <v>249</v>
      </c>
      <c r="E407" s="704"/>
      <c r="F407" s="661">
        <v>5.4</v>
      </c>
      <c r="G407" s="665">
        <v>0.1</v>
      </c>
      <c r="H407" s="663">
        <f t="shared" ref="H407" si="166">IF(F407&lt;=30,(1.05*F407+2.18)*G407,((1.05*30+2.18)+0.87*(F407-30))*G407)</f>
        <v>0.78500000000000014</v>
      </c>
      <c r="I407" s="380">
        <v>0</v>
      </c>
      <c r="J407" s="380"/>
      <c r="K407" s="593">
        <f t="shared" si="157"/>
        <v>0</v>
      </c>
      <c r="L407" s="594" t="s">
        <v>755</v>
      </c>
      <c r="M407" s="699"/>
      <c r="N407" s="419">
        <v>0</v>
      </c>
      <c r="O407" s="287">
        <f t="shared" si="158"/>
        <v>0</v>
      </c>
      <c r="P407" s="384">
        <f t="shared" si="159"/>
        <v>0</v>
      </c>
      <c r="Q407" s="288"/>
      <c r="R407" s="311" t="str">
        <f>IF(P406&gt;0,"xy","")</f>
        <v>xy</v>
      </c>
      <c r="S407" s="378" t="str">
        <f t="shared" si="146"/>
        <v>x</v>
      </c>
    </row>
    <row r="408" spans="2:19" x14ac:dyDescent="0.2">
      <c r="B408" s="731" t="s">
        <v>168</v>
      </c>
      <c r="C408" s="300"/>
      <c r="D408" s="417" t="s">
        <v>250</v>
      </c>
      <c r="E408" s="704"/>
      <c r="F408" s="661">
        <v>27.7</v>
      </c>
      <c r="G408" s="665">
        <v>1.4999999999999999E-2</v>
      </c>
      <c r="H408" s="664">
        <f>IF(F408&lt;=30,(0.51*F408+4.28)*G408,((0.51*30+4.28)+0.42*(F408-30))*G408)</f>
        <v>0.27610499999999999</v>
      </c>
      <c r="I408" s="380">
        <v>0</v>
      </c>
      <c r="J408" s="380"/>
      <c r="K408" s="593">
        <f t="shared" si="157"/>
        <v>0</v>
      </c>
      <c r="L408" s="594" t="s">
        <v>755</v>
      </c>
      <c r="M408" s="699"/>
      <c r="N408" s="419">
        <v>0</v>
      </c>
      <c r="O408" s="287">
        <f t="shared" si="158"/>
        <v>0</v>
      </c>
      <c r="P408" s="384">
        <f t="shared" si="159"/>
        <v>0</v>
      </c>
      <c r="Q408" s="288"/>
      <c r="R408" s="311" t="str">
        <f>IF(P406&gt;0,"xy","")</f>
        <v>xy</v>
      </c>
      <c r="S408" s="378" t="str">
        <f t="shared" si="146"/>
        <v>x</v>
      </c>
    </row>
    <row r="409" spans="2:19" x14ac:dyDescent="0.2">
      <c r="B409" s="731" t="s">
        <v>168</v>
      </c>
      <c r="C409" s="300"/>
      <c r="D409" s="417" t="s">
        <v>263</v>
      </c>
      <c r="E409" s="704"/>
      <c r="F409" s="661"/>
      <c r="G409" s="665">
        <v>0.82799999999999996</v>
      </c>
      <c r="H409" s="664">
        <f>IF(F409=0,0,IF(F409&lt;=30,(1.05*F409+2.18)*G409,((1.05*30+2.18)+0.87*(F409-30))*G409))</f>
        <v>0</v>
      </c>
      <c r="I409" s="380">
        <v>0</v>
      </c>
      <c r="J409" s="380"/>
      <c r="K409" s="593">
        <f t="shared" si="157"/>
        <v>0</v>
      </c>
      <c r="L409" s="594" t="s">
        <v>755</v>
      </c>
      <c r="M409" s="699"/>
      <c r="N409" s="419">
        <v>0</v>
      </c>
      <c r="O409" s="287">
        <f t="shared" si="158"/>
        <v>0</v>
      </c>
      <c r="P409" s="384">
        <f t="shared" si="159"/>
        <v>0</v>
      </c>
      <c r="Q409" s="288"/>
      <c r="R409" s="311" t="str">
        <f>IF(P406&gt;0,"xy","")</f>
        <v>xy</v>
      </c>
      <c r="S409" s="378" t="str">
        <f t="shared" si="146"/>
        <v>x</v>
      </c>
    </row>
    <row r="410" spans="2:19" x14ac:dyDescent="0.2">
      <c r="B410" s="731" t="s">
        <v>168</v>
      </c>
      <c r="C410" s="300"/>
      <c r="D410" s="417" t="s">
        <v>264</v>
      </c>
      <c r="E410" s="704"/>
      <c r="F410" s="661">
        <v>29.7</v>
      </c>
      <c r="G410" s="665">
        <f>SUM(G406:G409)</f>
        <v>1</v>
      </c>
      <c r="H410" s="664">
        <f>IF(F410&lt;=30,(1.05*F410+5.25)*G410,((1.05*30+5.25)+0.87*(F410-30))*G410)</f>
        <v>36.435000000000002</v>
      </c>
      <c r="I410" s="380">
        <v>0</v>
      </c>
      <c r="J410" s="380"/>
      <c r="K410" s="593">
        <f t="shared" si="157"/>
        <v>0</v>
      </c>
      <c r="L410" s="594" t="s">
        <v>755</v>
      </c>
      <c r="M410" s="699"/>
      <c r="N410" s="419">
        <v>0</v>
      </c>
      <c r="O410" s="287">
        <f t="shared" si="158"/>
        <v>0</v>
      </c>
      <c r="P410" s="384">
        <f t="shared" si="159"/>
        <v>0</v>
      </c>
      <c r="Q410" s="288"/>
      <c r="R410" s="243" t="str">
        <f>IF(P406&gt;0,"xy","")</f>
        <v>xy</v>
      </c>
      <c r="S410" s="378" t="str">
        <f t="shared" si="146"/>
        <v>x</v>
      </c>
    </row>
    <row r="411" spans="2:19" ht="13.5" thickBot="1" x14ac:dyDescent="0.25">
      <c r="B411" s="763" t="s">
        <v>2001</v>
      </c>
      <c r="C411" s="753" t="s">
        <v>1947</v>
      </c>
      <c r="D411" s="712" t="s">
        <v>801</v>
      </c>
      <c r="E411" s="718"/>
      <c r="F411" s="666">
        <v>39.5</v>
      </c>
      <c r="G411" s="667">
        <v>1</v>
      </c>
      <c r="H411" s="668">
        <f>(0.82*F411+40.14)*G411</f>
        <v>72.53</v>
      </c>
      <c r="I411" s="657">
        <v>6287.6</v>
      </c>
      <c r="J411" s="657">
        <f>IF(ISBLANK(I411),"",I411*(1+$F$9)/(1+$F$10))+H411</f>
        <v>6071.4212662721893</v>
      </c>
      <c r="K411" s="619">
        <f t="shared" si="157"/>
        <v>7695.53</v>
      </c>
      <c r="L411" s="649" t="s">
        <v>20</v>
      </c>
      <c r="M411" s="695">
        <f>ROUND(M406*G406,2)</f>
        <v>3.07</v>
      </c>
      <c r="N411" s="700">
        <v>7695.53</v>
      </c>
      <c r="O411" s="428">
        <f t="shared" si="158"/>
        <v>23625.279999999999</v>
      </c>
      <c r="P411" s="428">
        <f t="shared" si="159"/>
        <v>23625.279999999999</v>
      </c>
      <c r="Q411" s="288"/>
      <c r="R411" s="311" t="str">
        <f>IF(P231&gt;0,"xy","")</f>
        <v>xy</v>
      </c>
      <c r="S411" s="378" t="str">
        <f t="shared" si="146"/>
        <v>x</v>
      </c>
    </row>
    <row r="412" spans="2:19" hidden="1" x14ac:dyDescent="0.2">
      <c r="B412" s="760" t="s">
        <v>2002</v>
      </c>
      <c r="C412" s="711" t="s">
        <v>207</v>
      </c>
      <c r="D412" s="716" t="s">
        <v>2003</v>
      </c>
      <c r="E412" s="717"/>
      <c r="F412" s="658" t="s">
        <v>804</v>
      </c>
      <c r="G412" s="659">
        <v>0.05</v>
      </c>
      <c r="H412" s="660">
        <f>SUM(H413:H416)</f>
        <v>48.074521000000004</v>
      </c>
      <c r="I412" s="656">
        <v>163.34</v>
      </c>
      <c r="J412" s="656">
        <f t="shared" ref="J412:J442" si="167">IF(ISBLANK(I412),"",SUM(H412:I412))</f>
        <v>211.41452100000001</v>
      </c>
      <c r="K412" s="606">
        <f t="shared" si="143"/>
        <v>267.97000000000003</v>
      </c>
      <c r="L412" s="648" t="s">
        <v>20</v>
      </c>
      <c r="M412" s="697"/>
      <c r="N412" s="698">
        <v>267.97000000000003</v>
      </c>
      <c r="O412" s="423">
        <f t="shared" si="140"/>
        <v>0</v>
      </c>
      <c r="P412" s="424">
        <f t="shared" si="141"/>
        <v>0</v>
      </c>
      <c r="Q412" s="288"/>
      <c r="R412" s="243"/>
      <c r="S412" s="378" t="str">
        <f t="shared" si="146"/>
        <v/>
      </c>
    </row>
    <row r="413" spans="2:19" hidden="1" x14ac:dyDescent="0.2">
      <c r="B413" s="731" t="s">
        <v>168</v>
      </c>
      <c r="C413" s="300"/>
      <c r="D413" s="417" t="s">
        <v>249</v>
      </c>
      <c r="E413" s="704"/>
      <c r="F413" s="661">
        <v>180</v>
      </c>
      <c r="G413" s="665">
        <v>0.1007</v>
      </c>
      <c r="H413" s="663">
        <f t="shared" ref="H413" si="168">IF(F413&lt;=30,(1.05*F413+2.18)*G413,((1.05*30+2.18)+0.87*(F413-30))*G413)</f>
        <v>16.532926</v>
      </c>
      <c r="I413" s="380">
        <v>0</v>
      </c>
      <c r="J413" s="380"/>
      <c r="K413" s="593">
        <f t="shared" si="143"/>
        <v>0</v>
      </c>
      <c r="L413" s="594" t="s">
        <v>755</v>
      </c>
      <c r="M413" s="699"/>
      <c r="N413" s="419">
        <v>0</v>
      </c>
      <c r="O413" s="287">
        <f t="shared" si="140"/>
        <v>0</v>
      </c>
      <c r="P413" s="384">
        <f t="shared" si="141"/>
        <v>0</v>
      </c>
      <c r="Q413" s="288"/>
      <c r="R413" s="311" t="str">
        <f>IF(P412&gt;0,"xy","")</f>
        <v/>
      </c>
      <c r="S413" s="378" t="str">
        <f t="shared" si="146"/>
        <v/>
      </c>
    </row>
    <row r="414" spans="2:19" hidden="1" x14ac:dyDescent="0.2">
      <c r="B414" s="731" t="s">
        <v>168</v>
      </c>
      <c r="C414" s="300"/>
      <c r="D414" s="417" t="s">
        <v>250</v>
      </c>
      <c r="E414" s="704"/>
      <c r="F414" s="661">
        <v>500</v>
      </c>
      <c r="G414" s="665">
        <v>1.52E-2</v>
      </c>
      <c r="H414" s="664">
        <f>IF(F414&lt;=30,(0.51*F414+4.28)*G414,((0.51*30+4.28)+0.42*(F414-30))*G414)</f>
        <v>3.2980960000000001</v>
      </c>
      <c r="I414" s="380">
        <v>0</v>
      </c>
      <c r="J414" s="380"/>
      <c r="K414" s="593">
        <f t="shared" si="143"/>
        <v>0</v>
      </c>
      <c r="L414" s="594" t="s">
        <v>755</v>
      </c>
      <c r="M414" s="699"/>
      <c r="N414" s="419">
        <v>0</v>
      </c>
      <c r="O414" s="287">
        <f t="shared" si="140"/>
        <v>0</v>
      </c>
      <c r="P414" s="384">
        <f t="shared" si="141"/>
        <v>0</v>
      </c>
      <c r="Q414" s="288"/>
      <c r="R414" s="311" t="str">
        <f>IF(P412&gt;0,"xy","")</f>
        <v/>
      </c>
      <c r="S414" s="378" t="str">
        <f t="shared" si="146"/>
        <v/>
      </c>
    </row>
    <row r="415" spans="2:19" hidden="1" x14ac:dyDescent="0.2">
      <c r="B415" s="731" t="s">
        <v>168</v>
      </c>
      <c r="C415" s="300"/>
      <c r="D415" s="417" t="s">
        <v>263</v>
      </c>
      <c r="E415" s="704"/>
      <c r="F415" s="661">
        <v>0.2</v>
      </c>
      <c r="G415" s="665">
        <v>0.83409999999999995</v>
      </c>
      <c r="H415" s="664">
        <f>IF(F415=0,0,IF(F415&lt;=30,(1.05*F415+2.18)*G415,((1.05*30+2.18)+0.87*(F415-30))*G415))</f>
        <v>1.9934989999999999</v>
      </c>
      <c r="I415" s="380">
        <v>0</v>
      </c>
      <c r="J415" s="380"/>
      <c r="K415" s="593">
        <f t="shared" si="143"/>
        <v>0</v>
      </c>
      <c r="L415" s="594" t="s">
        <v>755</v>
      </c>
      <c r="M415" s="699"/>
      <c r="N415" s="419">
        <v>0</v>
      </c>
      <c r="O415" s="287">
        <f t="shared" si="140"/>
        <v>0</v>
      </c>
      <c r="P415" s="384">
        <f t="shared" si="141"/>
        <v>0</v>
      </c>
      <c r="Q415" s="288"/>
      <c r="R415" s="311" t="str">
        <f>IF(P412&gt;0,"xy","")</f>
        <v/>
      </c>
      <c r="S415" s="378" t="str">
        <f t="shared" si="146"/>
        <v/>
      </c>
    </row>
    <row r="416" spans="2:19" hidden="1" x14ac:dyDescent="0.2">
      <c r="B416" s="731" t="s">
        <v>168</v>
      </c>
      <c r="C416" s="300"/>
      <c r="D416" s="417" t="s">
        <v>264</v>
      </c>
      <c r="E416" s="704"/>
      <c r="F416" s="661">
        <v>20</v>
      </c>
      <c r="G416" s="665">
        <f>SUM(G412:G415)</f>
        <v>1</v>
      </c>
      <c r="H416" s="664">
        <f>IF(F416&lt;=30,(1.05*F416+5.25)*G416,((1.05*30+5.25)+0.87*(F416-30))*G416)</f>
        <v>26.25</v>
      </c>
      <c r="I416" s="380">
        <v>0</v>
      </c>
      <c r="J416" s="380"/>
      <c r="K416" s="593">
        <f t="shared" si="143"/>
        <v>0</v>
      </c>
      <c r="L416" s="594" t="s">
        <v>755</v>
      </c>
      <c r="M416" s="699"/>
      <c r="N416" s="419">
        <v>0</v>
      </c>
      <c r="O416" s="287">
        <f t="shared" si="140"/>
        <v>0</v>
      </c>
      <c r="P416" s="384">
        <f t="shared" si="141"/>
        <v>0</v>
      </c>
      <c r="Q416" s="288"/>
      <c r="R416" s="243" t="str">
        <f>IF(P412&gt;0,"xy","")</f>
        <v/>
      </c>
      <c r="S416" s="378" t="str">
        <f t="shared" si="146"/>
        <v/>
      </c>
    </row>
    <row r="417" spans="2:19" ht="13.5" hidden="1" thickBot="1" x14ac:dyDescent="0.25">
      <c r="B417" s="763" t="s">
        <v>2004</v>
      </c>
      <c r="C417" s="753" t="s">
        <v>1947</v>
      </c>
      <c r="D417" s="712" t="s">
        <v>802</v>
      </c>
      <c r="E417" s="718"/>
      <c r="F417" s="666">
        <v>500</v>
      </c>
      <c r="G417" s="667">
        <v>1</v>
      </c>
      <c r="H417" s="668">
        <f>(0.82*F417+40.14)*G417</f>
        <v>450.14</v>
      </c>
      <c r="I417" s="657">
        <v>6287.6</v>
      </c>
      <c r="J417" s="657">
        <f>IF(ISBLANK(I417),"",I417*(1+$F$9)/(1+$F$10))+H417</f>
        <v>6449.0312662721899</v>
      </c>
      <c r="K417" s="619">
        <f t="shared" si="143"/>
        <v>8174.15</v>
      </c>
      <c r="L417" s="649" t="s">
        <v>20</v>
      </c>
      <c r="M417" s="695">
        <f>ROUND(M412*G412,2)</f>
        <v>0</v>
      </c>
      <c r="N417" s="700">
        <v>8174.15</v>
      </c>
      <c r="O417" s="428">
        <f t="shared" si="140"/>
        <v>0</v>
      </c>
      <c r="P417" s="428">
        <f t="shared" si="141"/>
        <v>0</v>
      </c>
      <c r="Q417" s="288"/>
      <c r="R417" s="311" t="str">
        <f>IF(P237&gt;0,"xy","")</f>
        <v/>
      </c>
      <c r="S417" s="378" t="str">
        <f t="shared" si="146"/>
        <v/>
      </c>
    </row>
    <row r="418" spans="2:19" hidden="1" x14ac:dyDescent="0.2">
      <c r="B418" s="760" t="s">
        <v>2005</v>
      </c>
      <c r="C418" s="711" t="s">
        <v>207</v>
      </c>
      <c r="D418" s="716" t="s">
        <v>2006</v>
      </c>
      <c r="E418" s="717"/>
      <c r="F418" s="658" t="s">
        <v>804</v>
      </c>
      <c r="G418" s="659">
        <v>5.5E-2</v>
      </c>
      <c r="H418" s="660">
        <f>SUM(H419:H422)</f>
        <v>47.960217</v>
      </c>
      <c r="I418" s="656">
        <v>163.34</v>
      </c>
      <c r="J418" s="656">
        <f t="shared" si="167"/>
        <v>211.300217</v>
      </c>
      <c r="K418" s="606">
        <f t="shared" ref="K418:K423" si="169">IF(ISBLANK(I418),0,ROUND(J418*(1+$F$10)*(1+$F$11*E418),2))</f>
        <v>267.82</v>
      </c>
      <c r="L418" s="648" t="s">
        <v>20</v>
      </c>
      <c r="M418" s="697"/>
      <c r="N418" s="698">
        <v>267.82</v>
      </c>
      <c r="O418" s="423">
        <f t="shared" ref="O418:O423" si="170">IF(ISBLANK(M418),0,ROUND(K418*M418,2))</f>
        <v>0</v>
      </c>
      <c r="P418" s="424">
        <f t="shared" ref="P418:P423" si="171">IF(ISBLANK(N418),0,ROUND(M418*N418,2))</f>
        <v>0</v>
      </c>
      <c r="Q418" s="288"/>
      <c r="R418" s="243"/>
      <c r="S418" s="378" t="str">
        <f t="shared" si="146"/>
        <v/>
      </c>
    </row>
    <row r="419" spans="2:19" hidden="1" x14ac:dyDescent="0.2">
      <c r="B419" s="731" t="s">
        <v>168</v>
      </c>
      <c r="C419" s="300"/>
      <c r="D419" s="417" t="s">
        <v>249</v>
      </c>
      <c r="E419" s="704"/>
      <c r="F419" s="661">
        <v>180</v>
      </c>
      <c r="G419" s="665">
        <v>0.1002</v>
      </c>
      <c r="H419" s="663">
        <f t="shared" ref="H419" si="172">IF(F419&lt;=30,(1.05*F419+2.18)*G419,((1.05*30+2.18)+0.87*(F419-30))*G419)</f>
        <v>16.450835999999999</v>
      </c>
      <c r="I419" s="380">
        <v>0</v>
      </c>
      <c r="J419" s="380"/>
      <c r="K419" s="593">
        <f t="shared" si="169"/>
        <v>0</v>
      </c>
      <c r="L419" s="594" t="s">
        <v>755</v>
      </c>
      <c r="M419" s="699"/>
      <c r="N419" s="419">
        <v>0</v>
      </c>
      <c r="O419" s="287">
        <f t="shared" si="170"/>
        <v>0</v>
      </c>
      <c r="P419" s="384">
        <f t="shared" si="171"/>
        <v>0</v>
      </c>
      <c r="Q419" s="288"/>
      <c r="R419" s="311" t="str">
        <f>IF(P418&gt;0,"xy","")</f>
        <v/>
      </c>
      <c r="S419" s="378" t="str">
        <f t="shared" si="146"/>
        <v/>
      </c>
    </row>
    <row r="420" spans="2:19" hidden="1" x14ac:dyDescent="0.2">
      <c r="B420" s="731" t="s">
        <v>168</v>
      </c>
      <c r="C420" s="300"/>
      <c r="D420" s="417" t="s">
        <v>250</v>
      </c>
      <c r="E420" s="704"/>
      <c r="F420" s="661">
        <v>500</v>
      </c>
      <c r="G420" s="665">
        <v>1.5100000000000001E-2</v>
      </c>
      <c r="H420" s="664">
        <f>IF(F420&lt;=30,(0.51*F420+4.28)*G420,((0.51*30+4.28)+0.42*(F420-30))*G420)</f>
        <v>3.2763980000000004</v>
      </c>
      <c r="I420" s="380">
        <v>0</v>
      </c>
      <c r="J420" s="380"/>
      <c r="K420" s="593">
        <f t="shared" si="169"/>
        <v>0</v>
      </c>
      <c r="L420" s="594" t="s">
        <v>755</v>
      </c>
      <c r="M420" s="699"/>
      <c r="N420" s="419">
        <v>0</v>
      </c>
      <c r="O420" s="287">
        <f t="shared" si="170"/>
        <v>0</v>
      </c>
      <c r="P420" s="384">
        <f t="shared" si="171"/>
        <v>0</v>
      </c>
      <c r="Q420" s="288"/>
      <c r="R420" s="311" t="str">
        <f>IF(P418&gt;0,"xy","")</f>
        <v/>
      </c>
      <c r="S420" s="378" t="str">
        <f t="shared" si="146"/>
        <v/>
      </c>
    </row>
    <row r="421" spans="2:19" hidden="1" x14ac:dyDescent="0.2">
      <c r="B421" s="731" t="s">
        <v>168</v>
      </c>
      <c r="C421" s="300"/>
      <c r="D421" s="417" t="s">
        <v>263</v>
      </c>
      <c r="E421" s="704"/>
      <c r="F421" s="661">
        <v>0.2</v>
      </c>
      <c r="G421" s="665">
        <v>0.82969999999999999</v>
      </c>
      <c r="H421" s="664">
        <f>IF(F421=0,0,IF(F421&lt;=30,(1.05*F421+2.18)*G421,((1.05*30+2.18)+0.87*(F421-30))*G421))</f>
        <v>1.9829830000000002</v>
      </c>
      <c r="I421" s="380">
        <v>0</v>
      </c>
      <c r="J421" s="380"/>
      <c r="K421" s="593">
        <f t="shared" si="169"/>
        <v>0</v>
      </c>
      <c r="L421" s="594" t="s">
        <v>755</v>
      </c>
      <c r="M421" s="699"/>
      <c r="N421" s="419">
        <v>0</v>
      </c>
      <c r="O421" s="287">
        <f t="shared" si="170"/>
        <v>0</v>
      </c>
      <c r="P421" s="384">
        <f t="shared" si="171"/>
        <v>0</v>
      </c>
      <c r="Q421" s="288"/>
      <c r="R421" s="311" t="str">
        <f>IF(P418&gt;0,"xy","")</f>
        <v/>
      </c>
      <c r="S421" s="378" t="str">
        <f t="shared" si="146"/>
        <v/>
      </c>
    </row>
    <row r="422" spans="2:19" hidden="1" x14ac:dyDescent="0.2">
      <c r="B422" s="731" t="s">
        <v>168</v>
      </c>
      <c r="C422" s="300"/>
      <c r="D422" s="417" t="s">
        <v>264</v>
      </c>
      <c r="E422" s="704"/>
      <c r="F422" s="661">
        <v>20</v>
      </c>
      <c r="G422" s="665">
        <f>SUM(G418:G421)</f>
        <v>1</v>
      </c>
      <c r="H422" s="664">
        <f>IF(F422&lt;=30,(1.05*F422+5.25)*G422,((1.05*30+5.25)+0.87*(F422-30))*G422)</f>
        <v>26.25</v>
      </c>
      <c r="I422" s="380">
        <v>0</v>
      </c>
      <c r="J422" s="380"/>
      <c r="K422" s="593">
        <f t="shared" si="169"/>
        <v>0</v>
      </c>
      <c r="L422" s="594" t="s">
        <v>755</v>
      </c>
      <c r="M422" s="699"/>
      <c r="N422" s="419">
        <v>0</v>
      </c>
      <c r="O422" s="287">
        <f t="shared" si="170"/>
        <v>0</v>
      </c>
      <c r="P422" s="384">
        <f t="shared" si="171"/>
        <v>0</v>
      </c>
      <c r="Q422" s="288"/>
      <c r="R422" s="243" t="str">
        <f>IF(P418&gt;0,"xy","")</f>
        <v/>
      </c>
      <c r="S422" s="378" t="str">
        <f t="shared" si="146"/>
        <v/>
      </c>
    </row>
    <row r="423" spans="2:19" ht="13.5" hidden="1" thickBot="1" x14ac:dyDescent="0.25">
      <c r="B423" s="763" t="s">
        <v>2007</v>
      </c>
      <c r="C423" s="753" t="s">
        <v>1947</v>
      </c>
      <c r="D423" s="712" t="s">
        <v>802</v>
      </c>
      <c r="E423" s="718"/>
      <c r="F423" s="666">
        <v>500</v>
      </c>
      <c r="G423" s="667">
        <v>1</v>
      </c>
      <c r="H423" s="668">
        <f>(0.82*F423+40.14)*G423</f>
        <v>450.14</v>
      </c>
      <c r="I423" s="657">
        <v>6287.6</v>
      </c>
      <c r="J423" s="657">
        <f>IF(ISBLANK(I423),"",I423*(1+$F$9)/(1+$F$10))+H423</f>
        <v>6449.0312662721899</v>
      </c>
      <c r="K423" s="619">
        <f t="shared" si="169"/>
        <v>8174.15</v>
      </c>
      <c r="L423" s="649" t="s">
        <v>20</v>
      </c>
      <c r="M423" s="695">
        <f>ROUND(M418*G418,2)</f>
        <v>0</v>
      </c>
      <c r="N423" s="700">
        <v>8174.15</v>
      </c>
      <c r="O423" s="428">
        <f t="shared" si="170"/>
        <v>0</v>
      </c>
      <c r="P423" s="428">
        <f t="shared" si="171"/>
        <v>0</v>
      </c>
      <c r="Q423" s="288"/>
      <c r="R423" s="311" t="str">
        <f>IF(P243&gt;0,"xy","")</f>
        <v/>
      </c>
      <c r="S423" s="378" t="str">
        <f t="shared" si="146"/>
        <v/>
      </c>
    </row>
    <row r="424" spans="2:19" hidden="1" x14ac:dyDescent="0.2">
      <c r="B424" s="760" t="s">
        <v>2008</v>
      </c>
      <c r="C424" s="711" t="s">
        <v>207</v>
      </c>
      <c r="D424" s="716" t="s">
        <v>2009</v>
      </c>
      <c r="E424" s="717"/>
      <c r="F424" s="658" t="s">
        <v>804</v>
      </c>
      <c r="G424" s="659">
        <v>5.7000000000000002E-2</v>
      </c>
      <c r="H424" s="660">
        <f>SUM(H425:H428)</f>
        <v>47.901620000000001</v>
      </c>
      <c r="I424" s="656">
        <v>163.34</v>
      </c>
      <c r="J424" s="656">
        <f t="shared" ref="J424" si="173">IF(ISBLANK(I424),"",SUM(H424:I424))</f>
        <v>211.24162000000001</v>
      </c>
      <c r="K424" s="606">
        <f t="shared" ref="K424:K429" si="174">IF(ISBLANK(I424),0,ROUND(J424*(1+$F$10)*(1+$F$11*E424),2))</f>
        <v>267.75</v>
      </c>
      <c r="L424" s="648" t="s">
        <v>20</v>
      </c>
      <c r="M424" s="697"/>
      <c r="N424" s="698">
        <v>267.75</v>
      </c>
      <c r="O424" s="423">
        <f t="shared" ref="O424:O429" si="175">IF(ISBLANK(M424),0,ROUND(K424*M424,2))</f>
        <v>0</v>
      </c>
      <c r="P424" s="424">
        <f t="shared" ref="P424:P429" si="176">IF(ISBLANK(N424),0,ROUND(M424*N424,2))</f>
        <v>0</v>
      </c>
      <c r="Q424" s="288"/>
      <c r="R424" s="243"/>
      <c r="S424" s="378" t="str">
        <f t="shared" si="146"/>
        <v/>
      </c>
    </row>
    <row r="425" spans="2:19" hidden="1" x14ac:dyDescent="0.2">
      <c r="B425" s="731" t="s">
        <v>168</v>
      </c>
      <c r="C425" s="300"/>
      <c r="D425" s="417" t="s">
        <v>249</v>
      </c>
      <c r="E425" s="704"/>
      <c r="F425" s="661">
        <v>180</v>
      </c>
      <c r="G425" s="665">
        <v>0.1</v>
      </c>
      <c r="H425" s="663">
        <f t="shared" ref="H425" si="177">IF(F425&lt;=30,(1.05*F425+2.18)*G425,((1.05*30+2.18)+0.87*(F425-30))*G425)</f>
        <v>16.418000000000003</v>
      </c>
      <c r="I425" s="380">
        <v>0</v>
      </c>
      <c r="J425" s="380"/>
      <c r="K425" s="593">
        <f t="shared" si="174"/>
        <v>0</v>
      </c>
      <c r="L425" s="594" t="s">
        <v>755</v>
      </c>
      <c r="M425" s="699"/>
      <c r="N425" s="419">
        <v>0</v>
      </c>
      <c r="O425" s="287">
        <f t="shared" si="175"/>
        <v>0</v>
      </c>
      <c r="P425" s="384">
        <f t="shared" si="176"/>
        <v>0</v>
      </c>
      <c r="Q425" s="288"/>
      <c r="R425" s="311" t="str">
        <f>IF(P424&gt;0,"xy","")</f>
        <v/>
      </c>
      <c r="S425" s="378" t="str">
        <f t="shared" si="146"/>
        <v/>
      </c>
    </row>
    <row r="426" spans="2:19" hidden="1" x14ac:dyDescent="0.2">
      <c r="B426" s="731" t="s">
        <v>168</v>
      </c>
      <c r="C426" s="300"/>
      <c r="D426" s="417" t="s">
        <v>250</v>
      </c>
      <c r="E426" s="704"/>
      <c r="F426" s="661">
        <v>500</v>
      </c>
      <c r="G426" s="665">
        <v>1.4999999999999999E-2</v>
      </c>
      <c r="H426" s="664">
        <f>IF(F426&lt;=30,(0.51*F426+4.28)*G426,((0.51*30+4.28)+0.42*(F426-30))*G426)</f>
        <v>3.2547000000000001</v>
      </c>
      <c r="I426" s="380">
        <v>0</v>
      </c>
      <c r="J426" s="380"/>
      <c r="K426" s="593">
        <f t="shared" si="174"/>
        <v>0</v>
      </c>
      <c r="L426" s="594" t="s">
        <v>755</v>
      </c>
      <c r="M426" s="699"/>
      <c r="N426" s="419">
        <v>0</v>
      </c>
      <c r="O426" s="287">
        <f t="shared" si="175"/>
        <v>0</v>
      </c>
      <c r="P426" s="384">
        <f t="shared" si="176"/>
        <v>0</v>
      </c>
      <c r="Q426" s="288"/>
      <c r="R426" s="311" t="str">
        <f>IF(P424&gt;0,"xy","")</f>
        <v/>
      </c>
      <c r="S426" s="378" t="str">
        <f t="shared" ref="S426:S495" si="178">IF(R426="x","x",IF(R426="y","x",IF(R426="xy","x",IF(P426&gt;0,"x",""))))</f>
        <v/>
      </c>
    </row>
    <row r="427" spans="2:19" hidden="1" x14ac:dyDescent="0.2">
      <c r="B427" s="731" t="s">
        <v>168</v>
      </c>
      <c r="C427" s="300"/>
      <c r="D427" s="417" t="s">
        <v>263</v>
      </c>
      <c r="E427" s="704"/>
      <c r="F427" s="661">
        <v>0.2</v>
      </c>
      <c r="G427" s="665">
        <v>0.82799999999999996</v>
      </c>
      <c r="H427" s="664">
        <f>IF(F427=0,0,IF(F427&lt;=30,(1.05*F427+2.18)*G427,((1.05*30+2.18)+0.87*(F427-30))*G427))</f>
        <v>1.97892</v>
      </c>
      <c r="I427" s="380">
        <v>0</v>
      </c>
      <c r="J427" s="380"/>
      <c r="K427" s="593">
        <f t="shared" si="174"/>
        <v>0</v>
      </c>
      <c r="L427" s="594" t="s">
        <v>755</v>
      </c>
      <c r="M427" s="699"/>
      <c r="N427" s="419">
        <v>0</v>
      </c>
      <c r="O427" s="287">
        <f t="shared" si="175"/>
        <v>0</v>
      </c>
      <c r="P427" s="384">
        <f t="shared" si="176"/>
        <v>0</v>
      </c>
      <c r="Q427" s="288"/>
      <c r="R427" s="311" t="str">
        <f>IF(P424&gt;0,"xy","")</f>
        <v/>
      </c>
      <c r="S427" s="378" t="str">
        <f t="shared" si="178"/>
        <v/>
      </c>
    </row>
    <row r="428" spans="2:19" hidden="1" x14ac:dyDescent="0.2">
      <c r="B428" s="731" t="s">
        <v>168</v>
      </c>
      <c r="C428" s="300"/>
      <c r="D428" s="417" t="s">
        <v>264</v>
      </c>
      <c r="E428" s="704"/>
      <c r="F428" s="661">
        <v>20</v>
      </c>
      <c r="G428" s="665">
        <f>SUM(G424:G427)</f>
        <v>1</v>
      </c>
      <c r="H428" s="664">
        <f>IF(F428&lt;=30,(1.05*F428+5.25)*G428,((1.05*30+5.25)+0.87*(F428-30))*G428)</f>
        <v>26.25</v>
      </c>
      <c r="I428" s="380">
        <v>0</v>
      </c>
      <c r="J428" s="380"/>
      <c r="K428" s="593">
        <f t="shared" si="174"/>
        <v>0</v>
      </c>
      <c r="L428" s="594" t="s">
        <v>755</v>
      </c>
      <c r="M428" s="699"/>
      <c r="N428" s="419">
        <v>0</v>
      </c>
      <c r="O428" s="287">
        <f t="shared" si="175"/>
        <v>0</v>
      </c>
      <c r="P428" s="384">
        <f t="shared" si="176"/>
        <v>0</v>
      </c>
      <c r="Q428" s="288"/>
      <c r="R428" s="243" t="str">
        <f>IF(P424&gt;0,"xy","")</f>
        <v/>
      </c>
      <c r="S428" s="378" t="str">
        <f t="shared" si="178"/>
        <v/>
      </c>
    </row>
    <row r="429" spans="2:19" ht="13.5" hidden="1" thickBot="1" x14ac:dyDescent="0.25">
      <c r="B429" s="763" t="s">
        <v>2010</v>
      </c>
      <c r="C429" s="753" t="s">
        <v>1947</v>
      </c>
      <c r="D429" s="712" t="s">
        <v>802</v>
      </c>
      <c r="E429" s="718"/>
      <c r="F429" s="666">
        <v>500</v>
      </c>
      <c r="G429" s="667">
        <v>1</v>
      </c>
      <c r="H429" s="668">
        <f>(0.82*F429+40.14)*G429</f>
        <v>450.14</v>
      </c>
      <c r="I429" s="657">
        <v>6287.6</v>
      </c>
      <c r="J429" s="657">
        <f>IF(ISBLANK(I429),"",I429*(1+$F$9)/(1+$F$10))+H429</f>
        <v>6449.0312662721899</v>
      </c>
      <c r="K429" s="619">
        <f t="shared" si="174"/>
        <v>8174.15</v>
      </c>
      <c r="L429" s="649" t="s">
        <v>20</v>
      </c>
      <c r="M429" s="695">
        <f>ROUND(M424*G424,2)</f>
        <v>0</v>
      </c>
      <c r="N429" s="700">
        <v>8174.15</v>
      </c>
      <c r="O429" s="428">
        <f t="shared" si="175"/>
        <v>0</v>
      </c>
      <c r="P429" s="428">
        <f t="shared" si="176"/>
        <v>0</v>
      </c>
      <c r="Q429" s="288"/>
      <c r="R429" s="311" t="str">
        <f>IF(P249&gt;0,"xy","")</f>
        <v/>
      </c>
      <c r="S429" s="378" t="str">
        <f t="shared" si="178"/>
        <v/>
      </c>
    </row>
    <row r="430" spans="2:19" ht="25.5" hidden="1" x14ac:dyDescent="0.2">
      <c r="B430" s="791">
        <v>570360</v>
      </c>
      <c r="C430" s="711" t="s">
        <v>207</v>
      </c>
      <c r="D430" s="716" t="s">
        <v>265</v>
      </c>
      <c r="E430" s="717"/>
      <c r="F430" s="795" t="s">
        <v>806</v>
      </c>
      <c r="G430" s="659">
        <v>5.8999999999999997E-2</v>
      </c>
      <c r="H430" s="660">
        <f>SUM(H431:H434)</f>
        <v>47.896839999999997</v>
      </c>
      <c r="I430" s="656">
        <v>174.69</v>
      </c>
      <c r="J430" s="656">
        <f t="shared" si="167"/>
        <v>222.58684</v>
      </c>
      <c r="K430" s="606">
        <f t="shared" si="143"/>
        <v>282.13</v>
      </c>
      <c r="L430" s="648" t="s">
        <v>20</v>
      </c>
      <c r="M430" s="697"/>
      <c r="N430" s="698">
        <v>282.13</v>
      </c>
      <c r="O430" s="423">
        <f t="shared" si="140"/>
        <v>0</v>
      </c>
      <c r="P430" s="424">
        <f t="shared" si="141"/>
        <v>0</v>
      </c>
      <c r="Q430" s="288"/>
      <c r="R430" s="243"/>
      <c r="S430" s="378" t="str">
        <f t="shared" si="178"/>
        <v/>
      </c>
    </row>
    <row r="431" spans="2:19" hidden="1" x14ac:dyDescent="0.2">
      <c r="B431" s="730" t="s">
        <v>168</v>
      </c>
      <c r="C431" s="300"/>
      <c r="D431" s="417" t="s">
        <v>249</v>
      </c>
      <c r="E431" s="704"/>
      <c r="F431" s="661">
        <v>180</v>
      </c>
      <c r="G431" s="665">
        <v>0.1</v>
      </c>
      <c r="H431" s="663">
        <f t="shared" ref="H431" si="179">IF(F431&lt;=30,(1.05*F431+2.18)*G431,((1.05*30+2.18)+0.87*(F431-30))*G431)</f>
        <v>16.418000000000003</v>
      </c>
      <c r="I431" s="380">
        <v>0</v>
      </c>
      <c r="J431" s="380"/>
      <c r="K431" s="593">
        <f t="shared" si="143"/>
        <v>0</v>
      </c>
      <c r="L431" s="594" t="s">
        <v>755</v>
      </c>
      <c r="M431" s="699"/>
      <c r="N431" s="419">
        <v>0</v>
      </c>
      <c r="O431" s="287">
        <f t="shared" si="140"/>
        <v>0</v>
      </c>
      <c r="P431" s="384">
        <f t="shared" si="141"/>
        <v>0</v>
      </c>
      <c r="Q431" s="288"/>
      <c r="R431" s="311" t="str">
        <f>IF(P430&gt;0,"xy","")</f>
        <v/>
      </c>
      <c r="S431" s="378" t="str">
        <f t="shared" si="178"/>
        <v/>
      </c>
    </row>
    <row r="432" spans="2:19" hidden="1" x14ac:dyDescent="0.2">
      <c r="B432" s="730" t="s">
        <v>168</v>
      </c>
      <c r="C432" s="300"/>
      <c r="D432" s="417" t="s">
        <v>250</v>
      </c>
      <c r="E432" s="704"/>
      <c r="F432" s="661">
        <v>500</v>
      </c>
      <c r="G432" s="665">
        <v>1.4999999999999999E-2</v>
      </c>
      <c r="H432" s="664">
        <f>IF(F432&lt;=30,(0.51*F432+4.28)*G432,((0.51*30+4.28)+0.42*(F432-30))*G432)</f>
        <v>3.2547000000000001</v>
      </c>
      <c r="I432" s="380">
        <v>0</v>
      </c>
      <c r="J432" s="380"/>
      <c r="K432" s="593">
        <f t="shared" si="143"/>
        <v>0</v>
      </c>
      <c r="L432" s="594" t="s">
        <v>755</v>
      </c>
      <c r="M432" s="699"/>
      <c r="N432" s="419">
        <v>0</v>
      </c>
      <c r="O432" s="287">
        <f t="shared" si="140"/>
        <v>0</v>
      </c>
      <c r="P432" s="384">
        <f t="shared" si="141"/>
        <v>0</v>
      </c>
      <c r="Q432" s="288"/>
      <c r="R432" s="311" t="str">
        <f>IF(P430&gt;0,"xy","")</f>
        <v/>
      </c>
      <c r="S432" s="378" t="str">
        <f t="shared" si="178"/>
        <v/>
      </c>
    </row>
    <row r="433" spans="2:19" hidden="1" x14ac:dyDescent="0.2">
      <c r="B433" s="730" t="s">
        <v>168</v>
      </c>
      <c r="C433" s="300"/>
      <c r="D433" s="417" t="s">
        <v>263</v>
      </c>
      <c r="E433" s="704"/>
      <c r="F433" s="661">
        <v>0.2</v>
      </c>
      <c r="G433" s="665">
        <v>0.82599999999999996</v>
      </c>
      <c r="H433" s="664">
        <f>IF(F433=0,0,IF(F433&lt;=30,(1.05*F433+2.18)*G433,((1.05*30+2.18)+0.87*(F433-30))*G433))</f>
        <v>1.97414</v>
      </c>
      <c r="I433" s="380">
        <v>0</v>
      </c>
      <c r="J433" s="380"/>
      <c r="K433" s="593">
        <f t="shared" si="143"/>
        <v>0</v>
      </c>
      <c r="L433" s="594" t="s">
        <v>755</v>
      </c>
      <c r="M433" s="699"/>
      <c r="N433" s="419">
        <v>0</v>
      </c>
      <c r="O433" s="287">
        <f t="shared" si="140"/>
        <v>0</v>
      </c>
      <c r="P433" s="384">
        <f t="shared" si="141"/>
        <v>0</v>
      </c>
      <c r="Q433" s="288"/>
      <c r="R433" s="311" t="str">
        <f>IF(P430&gt;0,"xy","")</f>
        <v/>
      </c>
      <c r="S433" s="378" t="str">
        <f t="shared" si="178"/>
        <v/>
      </c>
    </row>
    <row r="434" spans="2:19" hidden="1" x14ac:dyDescent="0.2">
      <c r="B434" s="730" t="s">
        <v>168</v>
      </c>
      <c r="C434" s="300"/>
      <c r="D434" s="417" t="s">
        <v>264</v>
      </c>
      <c r="E434" s="704"/>
      <c r="F434" s="661">
        <v>20</v>
      </c>
      <c r="G434" s="665">
        <f>SUM(G430:G433)</f>
        <v>1</v>
      </c>
      <c r="H434" s="664">
        <f>IF(F434&lt;=30,(1.05*F434+5.25)*G434,((1.05*30+5.25)+0.87*(F434-30))*G434)</f>
        <v>26.25</v>
      </c>
      <c r="I434" s="380">
        <v>0</v>
      </c>
      <c r="J434" s="380"/>
      <c r="K434" s="593">
        <f t="shared" si="143"/>
        <v>0</v>
      </c>
      <c r="L434" s="594" t="s">
        <v>755</v>
      </c>
      <c r="M434" s="699"/>
      <c r="N434" s="419">
        <v>0</v>
      </c>
      <c r="O434" s="287">
        <f t="shared" si="140"/>
        <v>0</v>
      </c>
      <c r="P434" s="384">
        <f t="shared" si="141"/>
        <v>0</v>
      </c>
      <c r="Q434" s="288"/>
      <c r="R434" s="243" t="str">
        <f>IF(P430&gt;0,"xy","")</f>
        <v/>
      </c>
      <c r="S434" s="378" t="str">
        <f t="shared" si="178"/>
        <v/>
      </c>
    </row>
    <row r="435" spans="2:19" ht="13.5" hidden="1" thickBot="1" x14ac:dyDescent="0.25">
      <c r="B435" s="763">
        <v>589040</v>
      </c>
      <c r="C435" s="753" t="s">
        <v>1947</v>
      </c>
      <c r="D435" s="712" t="s">
        <v>2011</v>
      </c>
      <c r="E435" s="718"/>
      <c r="F435" s="666">
        <v>500</v>
      </c>
      <c r="G435" s="667">
        <v>1</v>
      </c>
      <c r="H435" s="668">
        <f>(0.82*F435+40.14)*G435</f>
        <v>450.14</v>
      </c>
      <c r="I435" s="657">
        <v>7408.8</v>
      </c>
      <c r="J435" s="657">
        <f>IF(ISBLANK(I435),"",I435*(1+$F$9)/(1+$F$10))+H435</f>
        <v>7518.7489467455616</v>
      </c>
      <c r="K435" s="619">
        <f t="shared" si="143"/>
        <v>9530.01</v>
      </c>
      <c r="L435" s="649" t="s">
        <v>20</v>
      </c>
      <c r="M435" s="695">
        <f>ROUND(M430*G430,2)</f>
        <v>0</v>
      </c>
      <c r="N435" s="700">
        <v>9530.01</v>
      </c>
      <c r="O435" s="428">
        <f t="shared" si="140"/>
        <v>0</v>
      </c>
      <c r="P435" s="428">
        <f t="shared" si="141"/>
        <v>0</v>
      </c>
      <c r="Q435" s="288"/>
      <c r="R435" s="311" t="str">
        <f>IF(P255&gt;0,"xy","")</f>
        <v/>
      </c>
      <c r="S435" s="378" t="str">
        <f t="shared" si="178"/>
        <v/>
      </c>
    </row>
    <row r="436" spans="2:19" ht="25.5" hidden="1" x14ac:dyDescent="0.2">
      <c r="B436" s="760">
        <v>570350</v>
      </c>
      <c r="C436" s="711" t="s">
        <v>207</v>
      </c>
      <c r="D436" s="716" t="s">
        <v>1901</v>
      </c>
      <c r="E436" s="717"/>
      <c r="F436" s="795" t="s">
        <v>807</v>
      </c>
      <c r="G436" s="659">
        <v>0.06</v>
      </c>
      <c r="H436" s="660">
        <f>SUM(H437:H440)</f>
        <v>47.894450000000006</v>
      </c>
      <c r="I436" s="656">
        <v>185.32999999999998</v>
      </c>
      <c r="J436" s="656">
        <f t="shared" ref="J436" si="180">IF(ISBLANK(I436),"",SUM(H436:I436))</f>
        <v>233.22444999999999</v>
      </c>
      <c r="K436" s="606">
        <f t="shared" ref="K436:K441" si="181">IF(ISBLANK(I436),0,ROUND(J436*(1+$F$10)*(1+$F$11*E436),2))</f>
        <v>295.61</v>
      </c>
      <c r="L436" s="648" t="s">
        <v>808</v>
      </c>
      <c r="M436" s="697"/>
      <c r="N436" s="698">
        <v>295.61</v>
      </c>
      <c r="O436" s="423">
        <f t="shared" ref="O436:O441" si="182">IF(ISBLANK(M436),0,ROUND(K436*M436,2))</f>
        <v>0</v>
      </c>
      <c r="P436" s="424">
        <f t="shared" ref="P436:P441" si="183">IF(ISBLANK(N436),0,ROUND(M436*N436,2))</f>
        <v>0</v>
      </c>
      <c r="Q436" s="288"/>
      <c r="R436" s="243"/>
      <c r="S436" s="378" t="str">
        <f t="shared" ref="S436:S441" si="184">IF(R436="x","x",IF(R436="y","x",IF(R436="xy","x",IF(P436&gt;0,"x",""))))</f>
        <v/>
      </c>
    </row>
    <row r="437" spans="2:19" hidden="1" x14ac:dyDescent="0.2">
      <c r="B437" s="731" t="s">
        <v>168</v>
      </c>
      <c r="C437" s="300"/>
      <c r="D437" s="417" t="s">
        <v>249</v>
      </c>
      <c r="E437" s="704"/>
      <c r="F437" s="661">
        <v>180</v>
      </c>
      <c r="G437" s="665">
        <v>0.1</v>
      </c>
      <c r="H437" s="663">
        <f t="shared" ref="H437" si="185">IF(F437&lt;=30,(1.05*F437+2.18)*G437,((1.05*30+2.18)+0.87*(F437-30))*G437)</f>
        <v>16.418000000000003</v>
      </c>
      <c r="I437" s="380">
        <v>0</v>
      </c>
      <c r="J437" s="380"/>
      <c r="K437" s="593">
        <f t="shared" si="181"/>
        <v>0</v>
      </c>
      <c r="L437" s="594" t="s">
        <v>755</v>
      </c>
      <c r="M437" s="699"/>
      <c r="N437" s="419">
        <v>0</v>
      </c>
      <c r="O437" s="287">
        <f t="shared" si="182"/>
        <v>0</v>
      </c>
      <c r="P437" s="384">
        <f t="shared" si="183"/>
        <v>0</v>
      </c>
      <c r="Q437" s="288"/>
      <c r="R437" s="311" t="str">
        <f>IF(P436&gt;0,"xy","")</f>
        <v/>
      </c>
      <c r="S437" s="378" t="str">
        <f t="shared" si="184"/>
        <v/>
      </c>
    </row>
    <row r="438" spans="2:19" hidden="1" x14ac:dyDescent="0.2">
      <c r="B438" s="731" t="s">
        <v>168</v>
      </c>
      <c r="C438" s="300"/>
      <c r="D438" s="417" t="s">
        <v>250</v>
      </c>
      <c r="E438" s="704"/>
      <c r="F438" s="661">
        <v>500</v>
      </c>
      <c r="G438" s="665">
        <v>1.4999999999999999E-2</v>
      </c>
      <c r="H438" s="664">
        <f>IF(F438&lt;=30,(0.51*F438+4.28)*G438,((0.51*30+4.28)+0.42*(F438-30))*G438)</f>
        <v>3.2547000000000001</v>
      </c>
      <c r="I438" s="380">
        <v>0</v>
      </c>
      <c r="J438" s="380"/>
      <c r="K438" s="593">
        <f t="shared" si="181"/>
        <v>0</v>
      </c>
      <c r="L438" s="594" t="s">
        <v>755</v>
      </c>
      <c r="M438" s="699"/>
      <c r="N438" s="419">
        <v>0</v>
      </c>
      <c r="O438" s="287">
        <f t="shared" si="182"/>
        <v>0</v>
      </c>
      <c r="P438" s="384">
        <f t="shared" si="183"/>
        <v>0</v>
      </c>
      <c r="Q438" s="288"/>
      <c r="R438" s="311" t="str">
        <f>IF(P436&gt;0,"xy","")</f>
        <v/>
      </c>
      <c r="S438" s="378" t="str">
        <f t="shared" si="184"/>
        <v/>
      </c>
    </row>
    <row r="439" spans="2:19" hidden="1" x14ac:dyDescent="0.2">
      <c r="B439" s="731" t="s">
        <v>168</v>
      </c>
      <c r="C439" s="300"/>
      <c r="D439" s="417" t="s">
        <v>263</v>
      </c>
      <c r="E439" s="704"/>
      <c r="F439" s="661">
        <v>0.2</v>
      </c>
      <c r="G439" s="665">
        <v>0.82499999999999996</v>
      </c>
      <c r="H439" s="664">
        <f>IF(F439=0,0,IF(F439&lt;=30,(1.05*F439+2.18)*G439,((1.05*30+2.18)+0.87*(F439-30))*G439))</f>
        <v>1.9717499999999999</v>
      </c>
      <c r="I439" s="380">
        <v>0</v>
      </c>
      <c r="J439" s="380"/>
      <c r="K439" s="593">
        <f t="shared" si="181"/>
        <v>0</v>
      </c>
      <c r="L439" s="594" t="s">
        <v>755</v>
      </c>
      <c r="M439" s="699"/>
      <c r="N439" s="419">
        <v>0</v>
      </c>
      <c r="O439" s="287">
        <f t="shared" si="182"/>
        <v>0</v>
      </c>
      <c r="P439" s="384">
        <f t="shared" si="183"/>
        <v>0</v>
      </c>
      <c r="Q439" s="288"/>
      <c r="R439" s="311" t="str">
        <f>IF(P436&gt;0,"xy","")</f>
        <v/>
      </c>
      <c r="S439" s="378" t="str">
        <f t="shared" si="184"/>
        <v/>
      </c>
    </row>
    <row r="440" spans="2:19" hidden="1" x14ac:dyDescent="0.2">
      <c r="B440" s="731" t="s">
        <v>168</v>
      </c>
      <c r="C440" s="300"/>
      <c r="D440" s="417" t="s">
        <v>264</v>
      </c>
      <c r="E440" s="704"/>
      <c r="F440" s="661">
        <v>20</v>
      </c>
      <c r="G440" s="665">
        <f>SUM(G436:G439)</f>
        <v>1</v>
      </c>
      <c r="H440" s="664">
        <f>IF(F440&lt;=30,(1.05*F440+5.25)*G440,((1.05*30+5.25)+0.87*(F440-30))*G440)</f>
        <v>26.25</v>
      </c>
      <c r="I440" s="380">
        <v>0</v>
      </c>
      <c r="J440" s="380"/>
      <c r="K440" s="593">
        <f t="shared" si="181"/>
        <v>0</v>
      </c>
      <c r="L440" s="594" t="s">
        <v>755</v>
      </c>
      <c r="M440" s="699"/>
      <c r="N440" s="419">
        <v>0</v>
      </c>
      <c r="O440" s="287">
        <f t="shared" si="182"/>
        <v>0</v>
      </c>
      <c r="P440" s="384">
        <f t="shared" si="183"/>
        <v>0</v>
      </c>
      <c r="Q440" s="288"/>
      <c r="R440" s="243" t="str">
        <f>IF(P436&gt;0,"xy","")</f>
        <v/>
      </c>
      <c r="S440" s="378" t="str">
        <f t="shared" si="184"/>
        <v/>
      </c>
    </row>
    <row r="441" spans="2:19" ht="13.5" hidden="1" thickBot="1" x14ac:dyDescent="0.25">
      <c r="B441" s="763">
        <v>589050</v>
      </c>
      <c r="C441" s="753" t="s">
        <v>1947</v>
      </c>
      <c r="D441" s="712" t="s">
        <v>2012</v>
      </c>
      <c r="E441" s="718"/>
      <c r="F441" s="666">
        <v>500</v>
      </c>
      <c r="G441" s="667">
        <v>1</v>
      </c>
      <c r="H441" s="668">
        <f>(0.82*F441+40.14)*G441</f>
        <v>450.14</v>
      </c>
      <c r="I441" s="657">
        <v>6004</v>
      </c>
      <c r="J441" s="657">
        <f>IF(ISBLANK(I441),"",I441*(1+$F$9)/(1+$F$10))+H441</f>
        <v>6178.4533727810649</v>
      </c>
      <c r="K441" s="619">
        <f t="shared" si="181"/>
        <v>7831.19</v>
      </c>
      <c r="L441" s="649" t="s">
        <v>20</v>
      </c>
      <c r="M441" s="695">
        <f>ROUND(M436*G436,2)</f>
        <v>0</v>
      </c>
      <c r="N441" s="700">
        <v>7831.19</v>
      </c>
      <c r="O441" s="429">
        <f t="shared" si="182"/>
        <v>0</v>
      </c>
      <c r="P441" s="430">
        <f t="shared" si="183"/>
        <v>0</v>
      </c>
      <c r="Q441" s="288"/>
      <c r="R441" s="311" t="str">
        <f>IF(P255&gt;0,"xy","")</f>
        <v/>
      </c>
      <c r="S441" s="378" t="str">
        <f t="shared" si="184"/>
        <v/>
      </c>
    </row>
    <row r="442" spans="2:19" ht="25.5" hidden="1" x14ac:dyDescent="0.2">
      <c r="B442" s="760">
        <v>570350</v>
      </c>
      <c r="C442" s="711" t="s">
        <v>207</v>
      </c>
      <c r="D442" s="716" t="s">
        <v>1902</v>
      </c>
      <c r="E442" s="717"/>
      <c r="F442" s="795" t="s">
        <v>807</v>
      </c>
      <c r="G442" s="659">
        <v>0.06</v>
      </c>
      <c r="H442" s="660">
        <f>SUM(H443:H446)</f>
        <v>47.894450000000006</v>
      </c>
      <c r="I442" s="656">
        <v>185.32999999999998</v>
      </c>
      <c r="J442" s="656">
        <f t="shared" si="167"/>
        <v>233.22444999999999</v>
      </c>
      <c r="K442" s="606">
        <f t="shared" si="143"/>
        <v>295.61</v>
      </c>
      <c r="L442" s="648" t="s">
        <v>808</v>
      </c>
      <c r="M442" s="697"/>
      <c r="N442" s="698">
        <v>295.61</v>
      </c>
      <c r="O442" s="423">
        <f t="shared" si="140"/>
        <v>0</v>
      </c>
      <c r="P442" s="424">
        <f t="shared" si="141"/>
        <v>0</v>
      </c>
      <c r="Q442" s="288"/>
      <c r="R442" s="243"/>
      <c r="S442" s="378" t="str">
        <f t="shared" si="178"/>
        <v/>
      </c>
    </row>
    <row r="443" spans="2:19" hidden="1" x14ac:dyDescent="0.2">
      <c r="B443" s="731" t="s">
        <v>168</v>
      </c>
      <c r="C443" s="300"/>
      <c r="D443" s="417" t="s">
        <v>249</v>
      </c>
      <c r="E443" s="704"/>
      <c r="F443" s="661">
        <v>180</v>
      </c>
      <c r="G443" s="665">
        <v>0.1</v>
      </c>
      <c r="H443" s="663">
        <f t="shared" ref="H443" si="186">IF(F443&lt;=30,(1.05*F443+2.18)*G443,((1.05*30+2.18)+0.87*(F443-30))*G443)</f>
        <v>16.418000000000003</v>
      </c>
      <c r="I443" s="380">
        <v>0</v>
      </c>
      <c r="J443" s="380"/>
      <c r="K443" s="593">
        <f t="shared" si="143"/>
        <v>0</v>
      </c>
      <c r="L443" s="594" t="s">
        <v>755</v>
      </c>
      <c r="M443" s="699"/>
      <c r="N443" s="419">
        <v>0</v>
      </c>
      <c r="O443" s="287">
        <f t="shared" si="140"/>
        <v>0</v>
      </c>
      <c r="P443" s="384">
        <f t="shared" si="141"/>
        <v>0</v>
      </c>
      <c r="Q443" s="288"/>
      <c r="R443" s="311" t="str">
        <f>IF(P442&gt;0,"xy","")</f>
        <v/>
      </c>
      <c r="S443" s="378" t="str">
        <f t="shared" si="178"/>
        <v/>
      </c>
    </row>
    <row r="444" spans="2:19" hidden="1" x14ac:dyDescent="0.2">
      <c r="B444" s="731" t="s">
        <v>168</v>
      </c>
      <c r="C444" s="300"/>
      <c r="D444" s="417" t="s">
        <v>250</v>
      </c>
      <c r="E444" s="704"/>
      <c r="F444" s="661">
        <v>500</v>
      </c>
      <c r="G444" s="665">
        <v>1.4999999999999999E-2</v>
      </c>
      <c r="H444" s="664">
        <f>IF(F444&lt;=30,(0.51*F444+4.28)*G444,((0.51*30+4.28)+0.42*(F444-30))*G444)</f>
        <v>3.2547000000000001</v>
      </c>
      <c r="I444" s="380">
        <v>0</v>
      </c>
      <c r="J444" s="380"/>
      <c r="K444" s="593">
        <f t="shared" si="143"/>
        <v>0</v>
      </c>
      <c r="L444" s="594" t="s">
        <v>755</v>
      </c>
      <c r="M444" s="699"/>
      <c r="N444" s="419">
        <v>0</v>
      </c>
      <c r="O444" s="287">
        <f t="shared" si="140"/>
        <v>0</v>
      </c>
      <c r="P444" s="384">
        <f t="shared" si="141"/>
        <v>0</v>
      </c>
      <c r="Q444" s="288"/>
      <c r="R444" s="311" t="str">
        <f>IF(P442&gt;0,"xy","")</f>
        <v/>
      </c>
      <c r="S444" s="378" t="str">
        <f t="shared" si="178"/>
        <v/>
      </c>
    </row>
    <row r="445" spans="2:19" hidden="1" x14ac:dyDescent="0.2">
      <c r="B445" s="731" t="s">
        <v>168</v>
      </c>
      <c r="C445" s="300"/>
      <c r="D445" s="417" t="s">
        <v>263</v>
      </c>
      <c r="E445" s="704"/>
      <c r="F445" s="661">
        <v>0.2</v>
      </c>
      <c r="G445" s="665">
        <v>0.82499999999999996</v>
      </c>
      <c r="H445" s="664">
        <f>IF(F445=0,0,IF(F445&lt;=30,(1.05*F445+2.18)*G445,((1.05*30+2.18)+0.87*(F445-30))*G445))</f>
        <v>1.9717499999999999</v>
      </c>
      <c r="I445" s="380">
        <v>0</v>
      </c>
      <c r="J445" s="380"/>
      <c r="K445" s="593">
        <f t="shared" si="143"/>
        <v>0</v>
      </c>
      <c r="L445" s="594" t="s">
        <v>755</v>
      </c>
      <c r="M445" s="699"/>
      <c r="N445" s="419">
        <v>0</v>
      </c>
      <c r="O445" s="287">
        <f t="shared" si="140"/>
        <v>0</v>
      </c>
      <c r="P445" s="384">
        <f t="shared" si="141"/>
        <v>0</v>
      </c>
      <c r="Q445" s="288"/>
      <c r="R445" s="311" t="str">
        <f>IF(P442&gt;0,"xy","")</f>
        <v/>
      </c>
      <c r="S445" s="378" t="str">
        <f t="shared" si="178"/>
        <v/>
      </c>
    </row>
    <row r="446" spans="2:19" hidden="1" x14ac:dyDescent="0.2">
      <c r="B446" s="731" t="s">
        <v>168</v>
      </c>
      <c r="C446" s="300"/>
      <c r="D446" s="417" t="s">
        <v>264</v>
      </c>
      <c r="E446" s="704"/>
      <c r="F446" s="661">
        <v>20</v>
      </c>
      <c r="G446" s="665">
        <f>SUM(G442:G445)</f>
        <v>1</v>
      </c>
      <c r="H446" s="664">
        <f>IF(F446&lt;=30,(1.05*F446+5.25)*G446,((1.05*30+5.25)+0.87*(F446-30))*G446)</f>
        <v>26.25</v>
      </c>
      <c r="I446" s="380">
        <v>0</v>
      </c>
      <c r="J446" s="380"/>
      <c r="K446" s="593">
        <f t="shared" si="143"/>
        <v>0</v>
      </c>
      <c r="L446" s="594" t="s">
        <v>755</v>
      </c>
      <c r="M446" s="699"/>
      <c r="N446" s="419">
        <v>0</v>
      </c>
      <c r="O446" s="287">
        <f t="shared" si="140"/>
        <v>0</v>
      </c>
      <c r="P446" s="384">
        <f t="shared" si="141"/>
        <v>0</v>
      </c>
      <c r="Q446" s="288"/>
      <c r="R446" s="243" t="str">
        <f>IF(P442&gt;0,"xy","")</f>
        <v/>
      </c>
      <c r="S446" s="378" t="str">
        <f t="shared" si="178"/>
        <v/>
      </c>
    </row>
    <row r="447" spans="2:19" ht="13.5" hidden="1" thickBot="1" x14ac:dyDescent="0.25">
      <c r="B447" s="763">
        <v>589050</v>
      </c>
      <c r="C447" s="753" t="s">
        <v>1947</v>
      </c>
      <c r="D447" s="712" t="s">
        <v>1903</v>
      </c>
      <c r="E447" s="718"/>
      <c r="F447" s="666">
        <v>500</v>
      </c>
      <c r="G447" s="667">
        <v>1</v>
      </c>
      <c r="H447" s="668">
        <f>(0.82*F447+40.14)*G447</f>
        <v>450.14</v>
      </c>
      <c r="I447" s="657">
        <v>5524.24</v>
      </c>
      <c r="J447" s="657">
        <f>IF(ISBLANK(I447),"",I447*(1+$F$9)/(1+$F$10))+H447</f>
        <v>5720.7225893491122</v>
      </c>
      <c r="K447" s="619">
        <f t="shared" si="143"/>
        <v>7251.02</v>
      </c>
      <c r="L447" s="649" t="s">
        <v>20</v>
      </c>
      <c r="M447" s="695">
        <f>ROUND(M442*G442,2)</f>
        <v>0</v>
      </c>
      <c r="N447" s="700">
        <v>7251.02</v>
      </c>
      <c r="O447" s="429">
        <f t="shared" si="140"/>
        <v>0</v>
      </c>
      <c r="P447" s="430">
        <f t="shared" si="141"/>
        <v>0</v>
      </c>
      <c r="Q447" s="288"/>
      <c r="R447" s="311" t="str">
        <f>IF(P261&gt;0,"xy","")</f>
        <v/>
      </c>
      <c r="S447" s="378" t="str">
        <f t="shared" si="178"/>
        <v/>
      </c>
    </row>
    <row r="448" spans="2:19" hidden="1" x14ac:dyDescent="0.2">
      <c r="B448" s="760">
        <v>505000</v>
      </c>
      <c r="C448" s="711" t="s">
        <v>207</v>
      </c>
      <c r="D448" s="716" t="s">
        <v>266</v>
      </c>
      <c r="E448" s="717"/>
      <c r="F448" s="795">
        <v>20</v>
      </c>
      <c r="G448" s="659">
        <v>2.4</v>
      </c>
      <c r="H448" s="660">
        <f t="shared" ref="H448:H449" si="187">IF(F448&lt;=30,(1.05*F448+2.18)*G448,((1.05*30+2.18)+0.87*(F448-30))*G448)</f>
        <v>55.631999999999998</v>
      </c>
      <c r="I448" s="629">
        <v>205.81</v>
      </c>
      <c r="J448" s="629">
        <f t="shared" ref="J448:J449" si="188">IF(ISBLANK(I448),"",SUM(H448:I448))</f>
        <v>261.44200000000001</v>
      </c>
      <c r="K448" s="613">
        <f t="shared" si="143"/>
        <v>331.38</v>
      </c>
      <c r="L448" s="630" t="s">
        <v>16</v>
      </c>
      <c r="M448" s="30"/>
      <c r="N448" s="30">
        <v>331.38</v>
      </c>
      <c r="O448" s="379">
        <f t="shared" si="140"/>
        <v>0</v>
      </c>
      <c r="P448" s="379">
        <f t="shared" si="141"/>
        <v>0</v>
      </c>
      <c r="Q448" s="288"/>
      <c r="R448" s="243"/>
      <c r="S448" s="378" t="str">
        <f t="shared" si="178"/>
        <v/>
      </c>
    </row>
    <row r="449" spans="2:19" hidden="1" x14ac:dyDescent="0.2">
      <c r="B449" s="730">
        <v>505100</v>
      </c>
      <c r="C449" s="300" t="s">
        <v>207</v>
      </c>
      <c r="D449" s="383" t="s">
        <v>267</v>
      </c>
      <c r="E449" s="704"/>
      <c r="F449" s="661">
        <v>20</v>
      </c>
      <c r="G449" s="665">
        <v>2.4</v>
      </c>
      <c r="H449" s="663">
        <f t="shared" si="187"/>
        <v>55.631999999999998</v>
      </c>
      <c r="I449" s="631">
        <v>268.64</v>
      </c>
      <c r="J449" s="631">
        <f t="shared" si="188"/>
        <v>324.27199999999999</v>
      </c>
      <c r="K449" s="593">
        <f t="shared" si="143"/>
        <v>411.01</v>
      </c>
      <c r="L449" s="594" t="s">
        <v>16</v>
      </c>
      <c r="M449" s="415"/>
      <c r="N449" s="415">
        <v>411.01</v>
      </c>
      <c r="O449" s="287">
        <f t="shared" si="140"/>
        <v>0</v>
      </c>
      <c r="P449" s="384">
        <f t="shared" si="141"/>
        <v>0</v>
      </c>
      <c r="Q449" s="288"/>
      <c r="R449" s="243"/>
      <c r="S449" s="378" t="str">
        <f t="shared" si="178"/>
        <v/>
      </c>
    </row>
    <row r="450" spans="2:19" hidden="1" x14ac:dyDescent="0.2">
      <c r="B450" s="608" t="s">
        <v>188</v>
      </c>
      <c r="C450" s="638"/>
      <c r="D450" s="386" t="s">
        <v>227</v>
      </c>
      <c r="E450" s="387"/>
      <c r="F450" s="388"/>
      <c r="G450" s="389"/>
      <c r="H450" s="390"/>
      <c r="I450" s="391"/>
      <c r="J450" s="391"/>
      <c r="K450" s="391"/>
      <c r="L450" s="391" t="s">
        <v>755</v>
      </c>
      <c r="M450" s="390"/>
      <c r="N450" s="391"/>
      <c r="O450" s="391"/>
      <c r="P450" s="392"/>
      <c r="Q450" s="288"/>
      <c r="R450" s="377" t="str">
        <f>IF(SUM(P451:P475)&gt;0,"y","")</f>
        <v/>
      </c>
      <c r="S450" s="378" t="str">
        <f t="shared" si="178"/>
        <v/>
      </c>
    </row>
    <row r="451" spans="2:19" hidden="1" x14ac:dyDescent="0.2">
      <c r="B451" s="609" t="s">
        <v>188</v>
      </c>
      <c r="C451" s="746" t="s">
        <v>188</v>
      </c>
      <c r="D451" s="393"/>
      <c r="E451" s="394"/>
      <c r="F451" s="402"/>
      <c r="G451" s="396"/>
      <c r="H451" s="395"/>
      <c r="I451" s="397"/>
      <c r="J451" s="398"/>
      <c r="K451" s="399">
        <f t="shared" ref="K451:K475" si="189">IF(ISBLANK(J451),0,ROUND(J451*(1+$F$10)*(1+$F$11*E451),2))</f>
        <v>0</v>
      </c>
      <c r="L451" s="400" t="s">
        <v>755</v>
      </c>
      <c r="M451" s="415"/>
      <c r="N451" s="415">
        <v>0</v>
      </c>
      <c r="O451" s="287">
        <f t="shared" ref="O451" si="190">IF(ISBLANK(M451),0,ROUND(K451*M451,2))</f>
        <v>0</v>
      </c>
      <c r="P451" s="384">
        <f t="shared" ref="P451:P475" si="191">IF(ISBLANK(N451),0,ROUND(M451*N451,2))</f>
        <v>0</v>
      </c>
      <c r="Q451" s="288"/>
      <c r="R451" s="243"/>
      <c r="S451" s="378" t="str">
        <f t="shared" si="178"/>
        <v/>
      </c>
    </row>
    <row r="452" spans="2:19" hidden="1" x14ac:dyDescent="0.2">
      <c r="B452" s="609" t="s">
        <v>188</v>
      </c>
      <c r="C452" s="746" t="s">
        <v>188</v>
      </c>
      <c r="D452" s="401"/>
      <c r="E452" s="394"/>
      <c r="F452" s="402"/>
      <c r="G452" s="396"/>
      <c r="H452" s="395"/>
      <c r="I452" s="397"/>
      <c r="J452" s="398"/>
      <c r="K452" s="403">
        <f t="shared" si="189"/>
        <v>0</v>
      </c>
      <c r="L452" s="400" t="s">
        <v>755</v>
      </c>
      <c r="M452" s="30"/>
      <c r="N452" s="30">
        <v>0</v>
      </c>
      <c r="O452" s="287">
        <f>IF(ISBLANK(M452),0,ROUND(K452*M452,2))</f>
        <v>0</v>
      </c>
      <c r="P452" s="287">
        <f t="shared" si="191"/>
        <v>0</v>
      </c>
      <c r="Q452" s="288"/>
      <c r="R452" s="243"/>
      <c r="S452" s="378" t="str">
        <f t="shared" si="178"/>
        <v/>
      </c>
    </row>
    <row r="453" spans="2:19" hidden="1" x14ac:dyDescent="0.2">
      <c r="B453" s="609" t="s">
        <v>188</v>
      </c>
      <c r="C453" s="746" t="s">
        <v>188</v>
      </c>
      <c r="D453" s="401"/>
      <c r="E453" s="394"/>
      <c r="F453" s="402"/>
      <c r="G453" s="396"/>
      <c r="H453" s="395"/>
      <c r="I453" s="397"/>
      <c r="J453" s="398"/>
      <c r="K453" s="403">
        <f t="shared" si="189"/>
        <v>0</v>
      </c>
      <c r="L453" s="400" t="s">
        <v>755</v>
      </c>
      <c r="M453" s="30"/>
      <c r="N453" s="30">
        <v>0</v>
      </c>
      <c r="O453" s="287">
        <f t="shared" ref="O453:O475" si="192">IF(ISBLANK(M453),0,ROUND(K453*M453,2))</f>
        <v>0</v>
      </c>
      <c r="P453" s="287">
        <f t="shared" si="191"/>
        <v>0</v>
      </c>
      <c r="Q453" s="288"/>
      <c r="R453" s="243"/>
      <c r="S453" s="378" t="str">
        <f t="shared" si="178"/>
        <v/>
      </c>
    </row>
    <row r="454" spans="2:19" hidden="1" x14ac:dyDescent="0.2">
      <c r="B454" s="609" t="s">
        <v>188</v>
      </c>
      <c r="C454" s="746" t="s">
        <v>188</v>
      </c>
      <c r="D454" s="401"/>
      <c r="E454" s="394"/>
      <c r="F454" s="402"/>
      <c r="G454" s="396"/>
      <c r="H454" s="395"/>
      <c r="I454" s="397"/>
      <c r="J454" s="398"/>
      <c r="K454" s="403">
        <f t="shared" si="189"/>
        <v>0</v>
      </c>
      <c r="L454" s="400" t="s">
        <v>755</v>
      </c>
      <c r="M454" s="30"/>
      <c r="N454" s="30">
        <v>0</v>
      </c>
      <c r="O454" s="287">
        <f t="shared" si="192"/>
        <v>0</v>
      </c>
      <c r="P454" s="287">
        <f t="shared" si="191"/>
        <v>0</v>
      </c>
      <c r="Q454" s="288"/>
      <c r="R454" s="243"/>
      <c r="S454" s="378" t="str">
        <f t="shared" si="178"/>
        <v/>
      </c>
    </row>
    <row r="455" spans="2:19" hidden="1" x14ac:dyDescent="0.2">
      <c r="B455" s="609" t="s">
        <v>188</v>
      </c>
      <c r="C455" s="746" t="s">
        <v>188</v>
      </c>
      <c r="D455" s="401"/>
      <c r="E455" s="394"/>
      <c r="F455" s="402"/>
      <c r="G455" s="396"/>
      <c r="H455" s="395"/>
      <c r="I455" s="397"/>
      <c r="J455" s="398"/>
      <c r="K455" s="403">
        <f t="shared" si="189"/>
        <v>0</v>
      </c>
      <c r="L455" s="400" t="s">
        <v>755</v>
      </c>
      <c r="M455" s="30"/>
      <c r="N455" s="30">
        <v>0</v>
      </c>
      <c r="O455" s="287">
        <f t="shared" si="192"/>
        <v>0</v>
      </c>
      <c r="P455" s="287">
        <f t="shared" si="191"/>
        <v>0</v>
      </c>
      <c r="Q455" s="288"/>
      <c r="R455" s="243"/>
      <c r="S455" s="378" t="str">
        <f t="shared" si="178"/>
        <v/>
      </c>
    </row>
    <row r="456" spans="2:19" hidden="1" x14ac:dyDescent="0.2">
      <c r="B456" s="609" t="s">
        <v>188</v>
      </c>
      <c r="C456" s="746" t="s">
        <v>188</v>
      </c>
      <c r="D456" s="401"/>
      <c r="E456" s="394"/>
      <c r="F456" s="402"/>
      <c r="G456" s="396"/>
      <c r="H456" s="395"/>
      <c r="I456" s="397"/>
      <c r="J456" s="398"/>
      <c r="K456" s="403">
        <f t="shared" si="189"/>
        <v>0</v>
      </c>
      <c r="L456" s="400" t="s">
        <v>755</v>
      </c>
      <c r="M456" s="30"/>
      <c r="N456" s="30">
        <v>0</v>
      </c>
      <c r="O456" s="287">
        <f t="shared" si="192"/>
        <v>0</v>
      </c>
      <c r="P456" s="287">
        <f t="shared" si="191"/>
        <v>0</v>
      </c>
      <c r="Q456" s="288"/>
      <c r="R456" s="243"/>
      <c r="S456" s="378" t="str">
        <f t="shared" si="178"/>
        <v/>
      </c>
    </row>
    <row r="457" spans="2:19" hidden="1" x14ac:dyDescent="0.2">
      <c r="B457" s="609" t="s">
        <v>188</v>
      </c>
      <c r="C457" s="746" t="s">
        <v>188</v>
      </c>
      <c r="D457" s="401"/>
      <c r="E457" s="394"/>
      <c r="F457" s="402"/>
      <c r="G457" s="396"/>
      <c r="H457" s="395"/>
      <c r="I457" s="397"/>
      <c r="J457" s="398"/>
      <c r="K457" s="403">
        <f t="shared" si="189"/>
        <v>0</v>
      </c>
      <c r="L457" s="400" t="s">
        <v>755</v>
      </c>
      <c r="M457" s="30"/>
      <c r="N457" s="30">
        <v>0</v>
      </c>
      <c r="O457" s="287">
        <f t="shared" si="192"/>
        <v>0</v>
      </c>
      <c r="P457" s="287">
        <f t="shared" si="191"/>
        <v>0</v>
      </c>
      <c r="Q457" s="288"/>
      <c r="R457" s="243"/>
      <c r="S457" s="378" t="str">
        <f t="shared" si="178"/>
        <v/>
      </c>
    </row>
    <row r="458" spans="2:19" hidden="1" x14ac:dyDescent="0.2">
      <c r="B458" s="609" t="s">
        <v>188</v>
      </c>
      <c r="C458" s="746" t="s">
        <v>188</v>
      </c>
      <c r="D458" s="401"/>
      <c r="E458" s="394"/>
      <c r="F458" s="402"/>
      <c r="G458" s="396"/>
      <c r="H458" s="395"/>
      <c r="I458" s="397"/>
      <c r="J458" s="398"/>
      <c r="K458" s="403">
        <f t="shared" si="189"/>
        <v>0</v>
      </c>
      <c r="L458" s="400" t="s">
        <v>755</v>
      </c>
      <c r="M458" s="30"/>
      <c r="N458" s="30">
        <v>0</v>
      </c>
      <c r="O458" s="287">
        <f t="shared" si="192"/>
        <v>0</v>
      </c>
      <c r="P458" s="287">
        <f t="shared" si="191"/>
        <v>0</v>
      </c>
      <c r="Q458" s="288"/>
      <c r="R458" s="243"/>
      <c r="S458" s="378" t="str">
        <f t="shared" si="178"/>
        <v/>
      </c>
    </row>
    <row r="459" spans="2:19" hidden="1" x14ac:dyDescent="0.2">
      <c r="B459" s="609" t="s">
        <v>188</v>
      </c>
      <c r="C459" s="746" t="s">
        <v>188</v>
      </c>
      <c r="D459" s="401"/>
      <c r="E459" s="394"/>
      <c r="F459" s="402"/>
      <c r="G459" s="396"/>
      <c r="H459" s="395"/>
      <c r="I459" s="397"/>
      <c r="J459" s="398"/>
      <c r="K459" s="403">
        <f t="shared" si="189"/>
        <v>0</v>
      </c>
      <c r="L459" s="400" t="s">
        <v>755</v>
      </c>
      <c r="M459" s="30"/>
      <c r="N459" s="30">
        <v>0</v>
      </c>
      <c r="O459" s="287">
        <f t="shared" si="192"/>
        <v>0</v>
      </c>
      <c r="P459" s="287">
        <f t="shared" si="191"/>
        <v>0</v>
      </c>
      <c r="Q459" s="288"/>
      <c r="R459" s="243"/>
      <c r="S459" s="378" t="str">
        <f t="shared" si="178"/>
        <v/>
      </c>
    </row>
    <row r="460" spans="2:19" hidden="1" x14ac:dyDescent="0.2">
      <c r="B460" s="609" t="s">
        <v>188</v>
      </c>
      <c r="C460" s="746" t="s">
        <v>188</v>
      </c>
      <c r="D460" s="401"/>
      <c r="E460" s="394"/>
      <c r="F460" s="402"/>
      <c r="G460" s="396"/>
      <c r="H460" s="395"/>
      <c r="I460" s="397"/>
      <c r="J460" s="398"/>
      <c r="K460" s="403">
        <f t="shared" si="189"/>
        <v>0</v>
      </c>
      <c r="L460" s="400" t="s">
        <v>755</v>
      </c>
      <c r="M460" s="30"/>
      <c r="N460" s="30">
        <v>0</v>
      </c>
      <c r="O460" s="287">
        <f t="shared" si="192"/>
        <v>0</v>
      </c>
      <c r="P460" s="287">
        <f t="shared" si="191"/>
        <v>0</v>
      </c>
      <c r="Q460" s="288"/>
      <c r="R460" s="243"/>
      <c r="S460" s="378" t="str">
        <f t="shared" si="178"/>
        <v/>
      </c>
    </row>
    <row r="461" spans="2:19" hidden="1" x14ac:dyDescent="0.2">
      <c r="B461" s="609" t="s">
        <v>188</v>
      </c>
      <c r="C461" s="746" t="s">
        <v>188</v>
      </c>
      <c r="D461" s="401"/>
      <c r="E461" s="394"/>
      <c r="F461" s="402"/>
      <c r="G461" s="396"/>
      <c r="H461" s="395"/>
      <c r="I461" s="397"/>
      <c r="J461" s="398"/>
      <c r="K461" s="403">
        <f t="shared" si="189"/>
        <v>0</v>
      </c>
      <c r="L461" s="400" t="s">
        <v>755</v>
      </c>
      <c r="M461" s="30"/>
      <c r="N461" s="30">
        <v>0</v>
      </c>
      <c r="O461" s="287">
        <f t="shared" si="192"/>
        <v>0</v>
      </c>
      <c r="P461" s="287">
        <f t="shared" si="191"/>
        <v>0</v>
      </c>
      <c r="Q461" s="288"/>
      <c r="R461" s="243"/>
      <c r="S461" s="378" t="str">
        <f t="shared" si="178"/>
        <v/>
      </c>
    </row>
    <row r="462" spans="2:19" hidden="1" x14ac:dyDescent="0.2">
      <c r="B462" s="609" t="s">
        <v>188</v>
      </c>
      <c r="C462" s="746" t="s">
        <v>188</v>
      </c>
      <c r="D462" s="401"/>
      <c r="E462" s="394"/>
      <c r="F462" s="402"/>
      <c r="G462" s="396"/>
      <c r="H462" s="395"/>
      <c r="I462" s="397"/>
      <c r="J462" s="398"/>
      <c r="K462" s="403">
        <f t="shared" si="189"/>
        <v>0</v>
      </c>
      <c r="L462" s="400" t="s">
        <v>755</v>
      </c>
      <c r="M462" s="30"/>
      <c r="N462" s="30">
        <v>0</v>
      </c>
      <c r="O462" s="287">
        <f t="shared" si="192"/>
        <v>0</v>
      </c>
      <c r="P462" s="287">
        <f t="shared" si="191"/>
        <v>0</v>
      </c>
      <c r="Q462" s="288"/>
      <c r="R462" s="243"/>
      <c r="S462" s="378" t="str">
        <f t="shared" si="178"/>
        <v/>
      </c>
    </row>
    <row r="463" spans="2:19" hidden="1" x14ac:dyDescent="0.2">
      <c r="B463" s="609" t="s">
        <v>188</v>
      </c>
      <c r="C463" s="746" t="s">
        <v>188</v>
      </c>
      <c r="D463" s="401"/>
      <c r="E463" s="394"/>
      <c r="F463" s="402"/>
      <c r="G463" s="396"/>
      <c r="H463" s="395"/>
      <c r="I463" s="397"/>
      <c r="J463" s="398"/>
      <c r="K463" s="403">
        <f t="shared" si="189"/>
        <v>0</v>
      </c>
      <c r="L463" s="400" t="s">
        <v>755</v>
      </c>
      <c r="M463" s="30"/>
      <c r="N463" s="30">
        <v>0</v>
      </c>
      <c r="O463" s="287">
        <f t="shared" si="192"/>
        <v>0</v>
      </c>
      <c r="P463" s="287">
        <f t="shared" si="191"/>
        <v>0</v>
      </c>
      <c r="Q463" s="288"/>
      <c r="R463" s="243"/>
      <c r="S463" s="378" t="str">
        <f t="shared" si="178"/>
        <v/>
      </c>
    </row>
    <row r="464" spans="2:19" hidden="1" x14ac:dyDescent="0.2">
      <c r="B464" s="609" t="s">
        <v>188</v>
      </c>
      <c r="C464" s="746" t="s">
        <v>188</v>
      </c>
      <c r="D464" s="401"/>
      <c r="E464" s="394"/>
      <c r="F464" s="402"/>
      <c r="G464" s="396"/>
      <c r="H464" s="395"/>
      <c r="I464" s="397"/>
      <c r="J464" s="398"/>
      <c r="K464" s="403">
        <f t="shared" si="189"/>
        <v>0</v>
      </c>
      <c r="L464" s="400" t="s">
        <v>755</v>
      </c>
      <c r="M464" s="30"/>
      <c r="N464" s="30">
        <v>0</v>
      </c>
      <c r="O464" s="287">
        <f t="shared" si="192"/>
        <v>0</v>
      </c>
      <c r="P464" s="287">
        <f t="shared" si="191"/>
        <v>0</v>
      </c>
      <c r="Q464" s="288"/>
      <c r="R464" s="243"/>
      <c r="S464" s="378" t="str">
        <f t="shared" si="178"/>
        <v/>
      </c>
    </row>
    <row r="465" spans="2:19" hidden="1" x14ac:dyDescent="0.2">
      <c r="B465" s="609" t="s">
        <v>188</v>
      </c>
      <c r="C465" s="746" t="s">
        <v>188</v>
      </c>
      <c r="D465" s="401"/>
      <c r="E465" s="394"/>
      <c r="F465" s="402"/>
      <c r="G465" s="396"/>
      <c r="H465" s="395"/>
      <c r="I465" s="397"/>
      <c r="J465" s="398"/>
      <c r="K465" s="403">
        <f t="shared" si="189"/>
        <v>0</v>
      </c>
      <c r="L465" s="400" t="s">
        <v>755</v>
      </c>
      <c r="M465" s="30"/>
      <c r="N465" s="30">
        <v>0</v>
      </c>
      <c r="O465" s="287">
        <f t="shared" si="192"/>
        <v>0</v>
      </c>
      <c r="P465" s="287">
        <f t="shared" si="191"/>
        <v>0</v>
      </c>
      <c r="Q465" s="288"/>
      <c r="R465" s="243"/>
      <c r="S465" s="378" t="str">
        <f t="shared" si="178"/>
        <v/>
      </c>
    </row>
    <row r="466" spans="2:19" hidden="1" x14ac:dyDescent="0.2">
      <c r="B466" s="609" t="s">
        <v>188</v>
      </c>
      <c r="C466" s="746" t="s">
        <v>188</v>
      </c>
      <c r="D466" s="401"/>
      <c r="E466" s="394"/>
      <c r="F466" s="402"/>
      <c r="G466" s="396"/>
      <c r="H466" s="395"/>
      <c r="I466" s="397"/>
      <c r="J466" s="398"/>
      <c r="K466" s="403">
        <f t="shared" si="189"/>
        <v>0</v>
      </c>
      <c r="L466" s="400" t="s">
        <v>755</v>
      </c>
      <c r="M466" s="30"/>
      <c r="N466" s="30">
        <v>0</v>
      </c>
      <c r="O466" s="287">
        <f t="shared" si="192"/>
        <v>0</v>
      </c>
      <c r="P466" s="287">
        <f t="shared" si="191"/>
        <v>0</v>
      </c>
      <c r="Q466" s="288"/>
      <c r="R466" s="243"/>
      <c r="S466" s="378" t="str">
        <f t="shared" si="178"/>
        <v/>
      </c>
    </row>
    <row r="467" spans="2:19" hidden="1" x14ac:dyDescent="0.2">
      <c r="B467" s="609" t="s">
        <v>188</v>
      </c>
      <c r="C467" s="746" t="s">
        <v>188</v>
      </c>
      <c r="D467" s="401"/>
      <c r="E467" s="394"/>
      <c r="F467" s="402"/>
      <c r="G467" s="396"/>
      <c r="H467" s="395"/>
      <c r="I467" s="397"/>
      <c r="J467" s="398"/>
      <c r="K467" s="403">
        <f t="shared" si="189"/>
        <v>0</v>
      </c>
      <c r="L467" s="400" t="s">
        <v>755</v>
      </c>
      <c r="M467" s="30"/>
      <c r="N467" s="30">
        <v>0</v>
      </c>
      <c r="O467" s="287">
        <f t="shared" si="192"/>
        <v>0</v>
      </c>
      <c r="P467" s="287">
        <f t="shared" si="191"/>
        <v>0</v>
      </c>
      <c r="Q467" s="288"/>
      <c r="R467" s="243"/>
      <c r="S467" s="378" t="str">
        <f t="shared" si="178"/>
        <v/>
      </c>
    </row>
    <row r="468" spans="2:19" hidden="1" x14ac:dyDescent="0.2">
      <c r="B468" s="609" t="s">
        <v>188</v>
      </c>
      <c r="C468" s="746" t="s">
        <v>188</v>
      </c>
      <c r="D468" s="401"/>
      <c r="E468" s="394"/>
      <c r="F468" s="402"/>
      <c r="G468" s="396"/>
      <c r="H468" s="395"/>
      <c r="I468" s="397"/>
      <c r="J468" s="398"/>
      <c r="K468" s="403">
        <f t="shared" si="189"/>
        <v>0</v>
      </c>
      <c r="L468" s="400" t="s">
        <v>755</v>
      </c>
      <c r="M468" s="30"/>
      <c r="N468" s="30">
        <v>0</v>
      </c>
      <c r="O468" s="287">
        <f t="shared" si="192"/>
        <v>0</v>
      </c>
      <c r="P468" s="287">
        <f t="shared" si="191"/>
        <v>0</v>
      </c>
      <c r="Q468" s="288"/>
      <c r="R468" s="243"/>
      <c r="S468" s="378" t="str">
        <f t="shared" si="178"/>
        <v/>
      </c>
    </row>
    <row r="469" spans="2:19" hidden="1" x14ac:dyDescent="0.2">
      <c r="B469" s="609" t="s">
        <v>188</v>
      </c>
      <c r="C469" s="746" t="s">
        <v>188</v>
      </c>
      <c r="D469" s="401"/>
      <c r="E469" s="394"/>
      <c r="F469" s="402"/>
      <c r="G469" s="396"/>
      <c r="H469" s="395"/>
      <c r="I469" s="397"/>
      <c r="J469" s="398"/>
      <c r="K469" s="403">
        <f t="shared" si="189"/>
        <v>0</v>
      </c>
      <c r="L469" s="400" t="s">
        <v>755</v>
      </c>
      <c r="M469" s="30"/>
      <c r="N469" s="30">
        <v>0</v>
      </c>
      <c r="O469" s="287">
        <f t="shared" si="192"/>
        <v>0</v>
      </c>
      <c r="P469" s="287">
        <f t="shared" si="191"/>
        <v>0</v>
      </c>
      <c r="Q469" s="288"/>
      <c r="R469" s="243"/>
      <c r="S469" s="378" t="str">
        <f t="shared" si="178"/>
        <v/>
      </c>
    </row>
    <row r="470" spans="2:19" hidden="1" x14ac:dyDescent="0.2">
      <c r="B470" s="609" t="s">
        <v>188</v>
      </c>
      <c r="C470" s="746" t="s">
        <v>188</v>
      </c>
      <c r="D470" s="401"/>
      <c r="E470" s="394"/>
      <c r="F470" s="402"/>
      <c r="G470" s="396"/>
      <c r="H470" s="395"/>
      <c r="I470" s="397"/>
      <c r="J470" s="398"/>
      <c r="K470" s="403">
        <f t="shared" si="189"/>
        <v>0</v>
      </c>
      <c r="L470" s="400" t="s">
        <v>755</v>
      </c>
      <c r="M470" s="30"/>
      <c r="N470" s="30">
        <v>0</v>
      </c>
      <c r="O470" s="287">
        <f t="shared" si="192"/>
        <v>0</v>
      </c>
      <c r="P470" s="287">
        <f t="shared" si="191"/>
        <v>0</v>
      </c>
      <c r="Q470" s="288"/>
      <c r="R470" s="243"/>
      <c r="S470" s="378" t="str">
        <f t="shared" si="178"/>
        <v/>
      </c>
    </row>
    <row r="471" spans="2:19" hidden="1" x14ac:dyDescent="0.2">
      <c r="B471" s="609" t="s">
        <v>188</v>
      </c>
      <c r="C471" s="746" t="s">
        <v>188</v>
      </c>
      <c r="D471" s="401"/>
      <c r="E471" s="394"/>
      <c r="F471" s="402"/>
      <c r="G471" s="396"/>
      <c r="H471" s="395"/>
      <c r="I471" s="397"/>
      <c r="J471" s="398"/>
      <c r="K471" s="403">
        <f t="shared" si="189"/>
        <v>0</v>
      </c>
      <c r="L471" s="400" t="s">
        <v>755</v>
      </c>
      <c r="M471" s="30"/>
      <c r="N471" s="30">
        <v>0</v>
      </c>
      <c r="O471" s="287">
        <f t="shared" si="192"/>
        <v>0</v>
      </c>
      <c r="P471" s="287">
        <f t="shared" si="191"/>
        <v>0</v>
      </c>
      <c r="Q471" s="288"/>
      <c r="R471" s="243"/>
      <c r="S471" s="378" t="str">
        <f t="shared" si="178"/>
        <v/>
      </c>
    </row>
    <row r="472" spans="2:19" hidden="1" x14ac:dyDescent="0.2">
      <c r="B472" s="609" t="s">
        <v>188</v>
      </c>
      <c r="C472" s="746" t="s">
        <v>188</v>
      </c>
      <c r="D472" s="401"/>
      <c r="E472" s="394"/>
      <c r="F472" s="402"/>
      <c r="G472" s="396"/>
      <c r="H472" s="395"/>
      <c r="I472" s="397"/>
      <c r="J472" s="398"/>
      <c r="K472" s="403">
        <f t="shared" si="189"/>
        <v>0</v>
      </c>
      <c r="L472" s="400" t="s">
        <v>755</v>
      </c>
      <c r="M472" s="30"/>
      <c r="N472" s="30">
        <v>0</v>
      </c>
      <c r="O472" s="287">
        <f t="shared" si="192"/>
        <v>0</v>
      </c>
      <c r="P472" s="287">
        <f t="shared" si="191"/>
        <v>0</v>
      </c>
      <c r="Q472" s="288"/>
      <c r="R472" s="243"/>
      <c r="S472" s="378" t="str">
        <f t="shared" si="178"/>
        <v/>
      </c>
    </row>
    <row r="473" spans="2:19" hidden="1" x14ac:dyDescent="0.2">
      <c r="B473" s="609" t="s">
        <v>188</v>
      </c>
      <c r="C473" s="746" t="s">
        <v>188</v>
      </c>
      <c r="D473" s="401"/>
      <c r="E473" s="394"/>
      <c r="F473" s="402"/>
      <c r="G473" s="396"/>
      <c r="H473" s="395"/>
      <c r="I473" s="397"/>
      <c r="J473" s="398"/>
      <c r="K473" s="403">
        <f t="shared" si="189"/>
        <v>0</v>
      </c>
      <c r="L473" s="400" t="s">
        <v>755</v>
      </c>
      <c r="M473" s="30"/>
      <c r="N473" s="30">
        <v>0</v>
      </c>
      <c r="O473" s="287">
        <f t="shared" si="192"/>
        <v>0</v>
      </c>
      <c r="P473" s="287">
        <f t="shared" si="191"/>
        <v>0</v>
      </c>
      <c r="Q473" s="288"/>
      <c r="R473" s="243"/>
      <c r="S473" s="378" t="str">
        <f t="shared" si="178"/>
        <v/>
      </c>
    </row>
    <row r="474" spans="2:19" hidden="1" x14ac:dyDescent="0.2">
      <c r="B474" s="609" t="s">
        <v>188</v>
      </c>
      <c r="C474" s="746" t="s">
        <v>188</v>
      </c>
      <c r="D474" s="401"/>
      <c r="E474" s="394"/>
      <c r="F474" s="402"/>
      <c r="G474" s="396"/>
      <c r="H474" s="395"/>
      <c r="I474" s="397"/>
      <c r="J474" s="398"/>
      <c r="K474" s="403">
        <f t="shared" si="189"/>
        <v>0</v>
      </c>
      <c r="L474" s="400" t="s">
        <v>755</v>
      </c>
      <c r="M474" s="30"/>
      <c r="N474" s="30">
        <v>0</v>
      </c>
      <c r="O474" s="287">
        <f t="shared" si="192"/>
        <v>0</v>
      </c>
      <c r="P474" s="287">
        <f t="shared" si="191"/>
        <v>0</v>
      </c>
      <c r="Q474" s="288"/>
      <c r="R474" s="243"/>
      <c r="S474" s="378" t="str">
        <f t="shared" si="178"/>
        <v/>
      </c>
    </row>
    <row r="475" spans="2:19" ht="13.5" hidden="1" thickBot="1" x14ac:dyDescent="0.25">
      <c r="B475" s="610" t="s">
        <v>188</v>
      </c>
      <c r="C475" s="747" t="s">
        <v>188</v>
      </c>
      <c r="D475" s="404"/>
      <c r="E475" s="405"/>
      <c r="F475" s="406"/>
      <c r="G475" s="407"/>
      <c r="H475" s="408"/>
      <c r="I475" s="409"/>
      <c r="J475" s="410"/>
      <c r="K475" s="411">
        <f t="shared" si="189"/>
        <v>0</v>
      </c>
      <c r="L475" s="412" t="s">
        <v>755</v>
      </c>
      <c r="M475" s="30"/>
      <c r="N475" s="30">
        <v>0</v>
      </c>
      <c r="O475" s="413">
        <f t="shared" si="192"/>
        <v>0</v>
      </c>
      <c r="P475" s="413">
        <f t="shared" si="191"/>
        <v>0</v>
      </c>
      <c r="Q475" s="288"/>
      <c r="R475" s="243"/>
      <c r="S475" s="378" t="str">
        <f t="shared" si="178"/>
        <v/>
      </c>
    </row>
    <row r="476" spans="2:19" ht="13.5" thickBot="1" x14ac:dyDescent="0.25">
      <c r="B476" s="611" t="s">
        <v>226</v>
      </c>
      <c r="C476" s="636"/>
      <c r="D476" s="637" t="s">
        <v>475</v>
      </c>
      <c r="E476" s="635"/>
      <c r="F476" s="626"/>
      <c r="G476" s="627"/>
      <c r="H476" s="628"/>
      <c r="I476" s="605"/>
      <c r="J476" s="605"/>
      <c r="K476" s="605"/>
      <c r="L476" s="376" t="s">
        <v>755</v>
      </c>
      <c r="M476" s="375"/>
      <c r="N476" s="376"/>
      <c r="O476" s="376"/>
      <c r="P476" s="294"/>
      <c r="Q476" s="295">
        <f>SUM(P477:P530)</f>
        <v>11278.96</v>
      </c>
      <c r="R476" s="311" t="str">
        <f>IF(Q476&gt;0,"xy","")</f>
        <v>xy</v>
      </c>
      <c r="S476" s="378" t="str">
        <f t="shared" si="178"/>
        <v>x</v>
      </c>
    </row>
    <row r="477" spans="2:19" hidden="1" x14ac:dyDescent="0.2">
      <c r="B477" s="778" t="s">
        <v>1003</v>
      </c>
      <c r="C477" s="300" t="s">
        <v>498</v>
      </c>
      <c r="D477" s="383" t="s">
        <v>1004</v>
      </c>
      <c r="E477" s="704"/>
      <c r="F477" s="661"/>
      <c r="G477" s="665"/>
      <c r="H477" s="664"/>
      <c r="I477" s="380">
        <v>12.4</v>
      </c>
      <c r="J477" s="631">
        <f>IF(ISBLANK(I477),"",SUM(H477:I477))</f>
        <v>12.4</v>
      </c>
      <c r="K477" s="593">
        <f t="shared" ref="K477:K480" si="193">IF(ISBLANK(I477),0,ROUND(J477*(1+$F$10)*(1+$F$11*E477),2))</f>
        <v>15.72</v>
      </c>
      <c r="L477" s="382" t="s">
        <v>19</v>
      </c>
      <c r="M477" s="30"/>
      <c r="N477" s="30">
        <v>15.72</v>
      </c>
      <c r="O477" s="287">
        <f t="shared" ref="O477:O504" si="194">IF(ISBLANK(M477),0,ROUND(K477*M477,2))</f>
        <v>0</v>
      </c>
      <c r="P477" s="287">
        <f t="shared" ref="P477:P504" si="195">IF(ISBLANK(N477),0,ROUND(M477*N477,2))</f>
        <v>0</v>
      </c>
      <c r="Q477" s="288"/>
      <c r="R477" s="243"/>
      <c r="S477" s="378" t="str">
        <f t="shared" si="178"/>
        <v/>
      </c>
    </row>
    <row r="478" spans="2:19" hidden="1" x14ac:dyDescent="0.2">
      <c r="B478" s="778" t="s">
        <v>1005</v>
      </c>
      <c r="C478" s="300" t="s">
        <v>498</v>
      </c>
      <c r="D478" s="764" t="s">
        <v>1006</v>
      </c>
      <c r="E478" s="765"/>
      <c r="F478" s="671"/>
      <c r="G478" s="701"/>
      <c r="H478" s="729"/>
      <c r="I478" s="380">
        <v>37.18</v>
      </c>
      <c r="J478" s="631">
        <f>IF(ISBLANK(I478),"",SUM(H478:I478))</f>
        <v>37.18</v>
      </c>
      <c r="K478" s="593">
        <f t="shared" si="193"/>
        <v>47.13</v>
      </c>
      <c r="L478" s="382" t="s">
        <v>19</v>
      </c>
      <c r="M478" s="30"/>
      <c r="N478" s="30">
        <v>47.13</v>
      </c>
      <c r="O478" s="287">
        <f t="shared" si="194"/>
        <v>0</v>
      </c>
      <c r="P478" s="384">
        <f t="shared" si="195"/>
        <v>0</v>
      </c>
      <c r="Q478" s="288"/>
      <c r="R478" s="243"/>
      <c r="S478" s="378" t="str">
        <f t="shared" si="178"/>
        <v/>
      </c>
    </row>
    <row r="479" spans="2:19" hidden="1" x14ac:dyDescent="0.2">
      <c r="B479" s="730" t="s">
        <v>2013</v>
      </c>
      <c r="C479" s="300" t="s">
        <v>207</v>
      </c>
      <c r="D479" s="383" t="s">
        <v>240</v>
      </c>
      <c r="E479" s="704"/>
      <c r="F479" s="661">
        <v>20</v>
      </c>
      <c r="G479" s="701">
        <v>7.6999999999999999E-2</v>
      </c>
      <c r="H479" s="663">
        <f t="shared" ref="H479" si="196">IF(F479&lt;=30,(0.7*F479+1.45)*G479,((0.7*30+1.45)+0.58*(F479-30))*G479)</f>
        <v>1.1896499999999999</v>
      </c>
      <c r="I479" s="380">
        <v>10.85</v>
      </c>
      <c r="J479" s="631">
        <f>IF(ISBLANK(I479),"",SUM(H479:I479))</f>
        <v>12.03965</v>
      </c>
      <c r="K479" s="593">
        <f t="shared" si="193"/>
        <v>15.26</v>
      </c>
      <c r="L479" s="382" t="s">
        <v>19</v>
      </c>
      <c r="M479" s="30"/>
      <c r="N479" s="30">
        <v>15.26</v>
      </c>
      <c r="O479" s="287">
        <f t="shared" si="194"/>
        <v>0</v>
      </c>
      <c r="P479" s="287">
        <f t="shared" si="195"/>
        <v>0</v>
      </c>
      <c r="Q479" s="288"/>
      <c r="R479" s="243"/>
      <c r="S479" s="378" t="str">
        <f t="shared" si="178"/>
        <v/>
      </c>
    </row>
    <row r="480" spans="2:19" hidden="1" x14ac:dyDescent="0.2">
      <c r="B480" s="730">
        <v>810100</v>
      </c>
      <c r="C480" s="300" t="s">
        <v>207</v>
      </c>
      <c r="D480" s="383" t="s">
        <v>268</v>
      </c>
      <c r="E480" s="704"/>
      <c r="F480" s="661"/>
      <c r="G480" s="665"/>
      <c r="H480" s="664">
        <f>SUM(H481:H483)</f>
        <v>27.788157999999999</v>
      </c>
      <c r="I480" s="380">
        <v>60.01</v>
      </c>
      <c r="J480" s="631">
        <f t="shared" ref="J480:J500" si="197">IF(ISBLANK(I480),"",SUM(H480:I480))</f>
        <v>87.798158000000001</v>
      </c>
      <c r="K480" s="593">
        <f t="shared" si="193"/>
        <v>111.28</v>
      </c>
      <c r="L480" s="382" t="s">
        <v>19</v>
      </c>
      <c r="M480" s="30"/>
      <c r="N480" s="30">
        <v>111.28</v>
      </c>
      <c r="O480" s="287">
        <f t="shared" si="194"/>
        <v>0</v>
      </c>
      <c r="P480" s="287">
        <f t="shared" si="195"/>
        <v>0</v>
      </c>
      <c r="Q480" s="288"/>
      <c r="R480" s="243"/>
      <c r="S480" s="378" t="str">
        <f t="shared" si="178"/>
        <v/>
      </c>
    </row>
    <row r="481" spans="2:19" hidden="1" x14ac:dyDescent="0.2">
      <c r="B481" s="730" t="s">
        <v>168</v>
      </c>
      <c r="C481" s="300"/>
      <c r="D481" s="417" t="s">
        <v>213</v>
      </c>
      <c r="E481" s="704"/>
      <c r="F481" s="661">
        <v>500</v>
      </c>
      <c r="G481" s="665">
        <f>ROUND(0.103*0.27,4)</f>
        <v>2.7799999999999998E-2</v>
      </c>
      <c r="H481" s="664">
        <f>IF(F481&lt;=30,(0.75*F481+6.29)*G481,((0.75*30+6.29)+0.62*(F481-30))*G481)</f>
        <v>8.9012820000000001</v>
      </c>
      <c r="I481" s="380">
        <v>0</v>
      </c>
      <c r="J481" s="631"/>
      <c r="K481" s="593"/>
      <c r="L481" s="427" t="s">
        <v>755</v>
      </c>
      <c r="M481" s="418"/>
      <c r="N481" s="419"/>
      <c r="O481" s="287">
        <f t="shared" si="194"/>
        <v>0</v>
      </c>
      <c r="P481" s="287">
        <f t="shared" si="195"/>
        <v>0</v>
      </c>
      <c r="Q481" s="288"/>
      <c r="R481" s="311" t="str">
        <f>IF(P480&gt;0,"xy","")</f>
        <v/>
      </c>
      <c r="S481" s="378" t="str">
        <f t="shared" si="178"/>
        <v/>
      </c>
    </row>
    <row r="482" spans="2:19" hidden="1" x14ac:dyDescent="0.2">
      <c r="B482" s="730" t="s">
        <v>168</v>
      </c>
      <c r="C482" s="300"/>
      <c r="D482" s="417" t="s">
        <v>249</v>
      </c>
      <c r="E482" s="704"/>
      <c r="F482" s="661">
        <v>180</v>
      </c>
      <c r="G482" s="665">
        <f>ROUND(0.103*0.96,4)</f>
        <v>9.8900000000000002E-2</v>
      </c>
      <c r="H482" s="663">
        <f t="shared" ref="H482:H484" si="198">IF(F482&lt;=30,(1.05*F482+2.18)*G482,((1.05*30+2.18)+0.87*(F482-30))*G482)</f>
        <v>16.237401999999999</v>
      </c>
      <c r="I482" s="380">
        <v>0</v>
      </c>
      <c r="J482" s="631"/>
      <c r="K482" s="593"/>
      <c r="L482" s="427" t="s">
        <v>755</v>
      </c>
      <c r="M482" s="418"/>
      <c r="N482" s="419"/>
      <c r="O482" s="287">
        <f t="shared" si="194"/>
        <v>0</v>
      </c>
      <c r="P482" s="287">
        <f t="shared" si="195"/>
        <v>0</v>
      </c>
      <c r="Q482" s="288"/>
      <c r="R482" s="311" t="str">
        <f>IF(P480&gt;0,"xy","")</f>
        <v/>
      </c>
      <c r="S482" s="378" t="str">
        <f t="shared" si="178"/>
        <v/>
      </c>
    </row>
    <row r="483" spans="2:19" hidden="1" x14ac:dyDescent="0.2">
      <c r="B483" s="730" t="s">
        <v>168</v>
      </c>
      <c r="C483" s="300"/>
      <c r="D483" s="417" t="s">
        <v>253</v>
      </c>
      <c r="E483" s="704"/>
      <c r="F483" s="661">
        <v>20</v>
      </c>
      <c r="G483" s="665">
        <f>ROUND(0.103*1.11,4)</f>
        <v>0.1143</v>
      </c>
      <c r="H483" s="663">
        <f t="shared" si="198"/>
        <v>2.6494740000000001</v>
      </c>
      <c r="I483" s="380">
        <v>0</v>
      </c>
      <c r="J483" s="631"/>
      <c r="K483" s="593"/>
      <c r="L483" s="427" t="s">
        <v>755</v>
      </c>
      <c r="M483" s="418"/>
      <c r="N483" s="419"/>
      <c r="O483" s="287">
        <f t="shared" si="194"/>
        <v>0</v>
      </c>
      <c r="P483" s="287">
        <f t="shared" si="195"/>
        <v>0</v>
      </c>
      <c r="Q483" s="288"/>
      <c r="R483" s="311" t="str">
        <f>IF(P480&gt;0,"xy","")</f>
        <v/>
      </c>
      <c r="S483" s="378" t="str">
        <f t="shared" si="178"/>
        <v/>
      </c>
    </row>
    <row r="484" spans="2:19" hidden="1" x14ac:dyDescent="0.2">
      <c r="B484" s="730">
        <v>810050</v>
      </c>
      <c r="C484" s="300" t="s">
        <v>207</v>
      </c>
      <c r="D484" s="383" t="s">
        <v>269</v>
      </c>
      <c r="E484" s="704"/>
      <c r="F484" s="661">
        <v>10</v>
      </c>
      <c r="G484" s="665">
        <f>0.0278+0.0988+0.1143</f>
        <v>0.2409</v>
      </c>
      <c r="H484" s="663">
        <f t="shared" si="198"/>
        <v>3.0546120000000001</v>
      </c>
      <c r="I484" s="380">
        <v>96.09</v>
      </c>
      <c r="J484" s="631">
        <f t="shared" ref="J484" si="199">IF(ISBLANK(I484),"",SUM(H484:I484))</f>
        <v>99.144612000000009</v>
      </c>
      <c r="K484" s="593">
        <f t="shared" ref="K484:K504" si="200">IF(ISBLANK(I484),0,ROUND(J484*(1+$F$10)*(1+$F$11*E484),2))</f>
        <v>125.67</v>
      </c>
      <c r="L484" s="382" t="s">
        <v>19</v>
      </c>
      <c r="M484" s="30"/>
      <c r="N484" s="30">
        <v>125.67</v>
      </c>
      <c r="O484" s="287">
        <f t="shared" si="194"/>
        <v>0</v>
      </c>
      <c r="P484" s="287">
        <f t="shared" si="195"/>
        <v>0</v>
      </c>
      <c r="Q484" s="288"/>
      <c r="R484" s="377"/>
      <c r="S484" s="378" t="str">
        <f t="shared" si="178"/>
        <v/>
      </c>
    </row>
    <row r="485" spans="2:19" x14ac:dyDescent="0.2">
      <c r="B485" s="730">
        <v>810200</v>
      </c>
      <c r="C485" s="300" t="s">
        <v>207</v>
      </c>
      <c r="D485" s="383" t="s">
        <v>270</v>
      </c>
      <c r="E485" s="704"/>
      <c r="F485" s="661"/>
      <c r="G485" s="665"/>
      <c r="H485" s="664">
        <f>SUM(H486:H488)</f>
        <v>2.7906152000000004</v>
      </c>
      <c r="I485" s="380">
        <v>26.1</v>
      </c>
      <c r="J485" s="631">
        <f t="shared" si="197"/>
        <v>28.890615200000003</v>
      </c>
      <c r="K485" s="593">
        <f t="shared" si="200"/>
        <v>36.619999999999997</v>
      </c>
      <c r="L485" s="382" t="s">
        <v>19</v>
      </c>
      <c r="M485" s="30">
        <v>308</v>
      </c>
      <c r="N485" s="30">
        <v>36.619999999999997</v>
      </c>
      <c r="O485" s="287">
        <f t="shared" si="194"/>
        <v>11278.96</v>
      </c>
      <c r="P485" s="287">
        <f t="shared" si="195"/>
        <v>11278.96</v>
      </c>
      <c r="Q485" s="288"/>
      <c r="R485" s="377"/>
      <c r="S485" s="378" t="str">
        <f t="shared" si="178"/>
        <v>x</v>
      </c>
    </row>
    <row r="486" spans="2:19" x14ac:dyDescent="0.2">
      <c r="B486" s="730" t="s">
        <v>168</v>
      </c>
      <c r="C486" s="300"/>
      <c r="D486" s="417" t="s">
        <v>213</v>
      </c>
      <c r="E486" s="704"/>
      <c r="F486" s="661">
        <v>77.7</v>
      </c>
      <c r="G486" s="665">
        <f>ROUND(0.042*0.27,4)</f>
        <v>1.1299999999999999E-2</v>
      </c>
      <c r="H486" s="664">
        <f>IF(F486&lt;=30,(0.75*F486+6.29)*G486,((0.75*30+6.29)+0.62*(F486-30))*G486)</f>
        <v>0.65951320000000002</v>
      </c>
      <c r="I486" s="380">
        <v>0</v>
      </c>
      <c r="J486" s="631"/>
      <c r="K486" s="593"/>
      <c r="L486" s="427" t="s">
        <v>755</v>
      </c>
      <c r="M486" s="418"/>
      <c r="N486" s="419"/>
      <c r="O486" s="287">
        <f t="shared" si="194"/>
        <v>0</v>
      </c>
      <c r="P486" s="287">
        <f t="shared" si="195"/>
        <v>0</v>
      </c>
      <c r="Q486" s="288"/>
      <c r="R486" s="311" t="str">
        <f>IF(P485&gt;0,"xy","")</f>
        <v>xy</v>
      </c>
      <c r="S486" s="378" t="str">
        <f t="shared" si="178"/>
        <v>x</v>
      </c>
    </row>
    <row r="487" spans="2:19" x14ac:dyDescent="0.2">
      <c r="B487" s="730" t="s">
        <v>168</v>
      </c>
      <c r="C487" s="300"/>
      <c r="D487" s="417" t="s">
        <v>249</v>
      </c>
      <c r="E487" s="704"/>
      <c r="F487" s="661">
        <v>23.8</v>
      </c>
      <c r="G487" s="665">
        <f>ROUND(0.042*0.96,4)</f>
        <v>4.0300000000000002E-2</v>
      </c>
      <c r="H487" s="663">
        <f t="shared" ref="H487:H489" si="201">IF(F487&lt;=30,(1.05*F487+2.18)*G487,((1.05*30+2.18)+0.87*(F487-30))*G487)</f>
        <v>1.0949510000000002</v>
      </c>
      <c r="I487" s="380">
        <v>0</v>
      </c>
      <c r="J487" s="631"/>
      <c r="K487" s="593"/>
      <c r="L487" s="427" t="s">
        <v>755</v>
      </c>
      <c r="M487" s="418"/>
      <c r="N487" s="419"/>
      <c r="O487" s="287">
        <f t="shared" si="194"/>
        <v>0</v>
      </c>
      <c r="P487" s="287">
        <f t="shared" si="195"/>
        <v>0</v>
      </c>
      <c r="Q487" s="288"/>
      <c r="R487" s="311" t="str">
        <f>IF(P485&gt;0,"xy","")</f>
        <v>xy</v>
      </c>
      <c r="S487" s="378" t="str">
        <f t="shared" si="178"/>
        <v>x</v>
      </c>
    </row>
    <row r="488" spans="2:19" ht="13.5" thickBot="1" x14ac:dyDescent="0.25">
      <c r="B488" s="730" t="s">
        <v>168</v>
      </c>
      <c r="C488" s="300"/>
      <c r="D488" s="417" t="s">
        <v>253</v>
      </c>
      <c r="E488" s="704"/>
      <c r="F488" s="661">
        <v>19.100000000000001</v>
      </c>
      <c r="G488" s="665">
        <f>ROUND(0.042*1.11,4)</f>
        <v>4.6600000000000003E-2</v>
      </c>
      <c r="H488" s="663">
        <f t="shared" si="201"/>
        <v>1.0361510000000003</v>
      </c>
      <c r="I488" s="380">
        <v>0</v>
      </c>
      <c r="J488" s="631"/>
      <c r="K488" s="593"/>
      <c r="L488" s="427" t="s">
        <v>755</v>
      </c>
      <c r="M488" s="418"/>
      <c r="N488" s="419"/>
      <c r="O488" s="287">
        <f t="shared" si="194"/>
        <v>0</v>
      </c>
      <c r="P488" s="287">
        <f t="shared" si="195"/>
        <v>0</v>
      </c>
      <c r="Q488" s="288"/>
      <c r="R488" s="311" t="str">
        <f>IF(P485&gt;0,"xy","")</f>
        <v>xy</v>
      </c>
      <c r="S488" s="378" t="str">
        <f t="shared" si="178"/>
        <v>x</v>
      </c>
    </row>
    <row r="489" spans="2:19" hidden="1" x14ac:dyDescent="0.2">
      <c r="B489" s="730">
        <v>810150</v>
      </c>
      <c r="C489" s="300" t="s">
        <v>207</v>
      </c>
      <c r="D489" s="383" t="s">
        <v>271</v>
      </c>
      <c r="E489" s="704"/>
      <c r="F489" s="661">
        <v>10</v>
      </c>
      <c r="G489" s="665">
        <v>9.8199999999999996E-2</v>
      </c>
      <c r="H489" s="663">
        <f t="shared" si="201"/>
        <v>1.2451759999999998</v>
      </c>
      <c r="I489" s="380">
        <v>44.68</v>
      </c>
      <c r="J489" s="631">
        <f t="shared" si="197"/>
        <v>45.925176</v>
      </c>
      <c r="K489" s="593">
        <f t="shared" si="200"/>
        <v>58.21</v>
      </c>
      <c r="L489" s="382" t="s">
        <v>19</v>
      </c>
      <c r="M489" s="30"/>
      <c r="N489" s="30">
        <v>58.21</v>
      </c>
      <c r="O489" s="287">
        <f t="shared" si="194"/>
        <v>0</v>
      </c>
      <c r="P489" s="287">
        <f t="shared" si="195"/>
        <v>0</v>
      </c>
      <c r="Q489" s="288"/>
      <c r="R489" s="243"/>
      <c r="S489" s="378" t="str">
        <f t="shared" si="178"/>
        <v/>
      </c>
    </row>
    <row r="490" spans="2:19" hidden="1" x14ac:dyDescent="0.2">
      <c r="B490" s="730">
        <v>810700</v>
      </c>
      <c r="C490" s="300" t="s">
        <v>207</v>
      </c>
      <c r="D490" s="383" t="s">
        <v>272</v>
      </c>
      <c r="E490" s="704"/>
      <c r="F490" s="661"/>
      <c r="G490" s="665"/>
      <c r="H490" s="664">
        <f>SUM(H491:H493)</f>
        <v>8.3795520000000003</v>
      </c>
      <c r="I490" s="380">
        <v>21.380000000000003</v>
      </c>
      <c r="J490" s="631">
        <f t="shared" si="197"/>
        <v>29.759552000000003</v>
      </c>
      <c r="K490" s="593">
        <f t="shared" si="200"/>
        <v>37.72</v>
      </c>
      <c r="L490" s="382" t="s">
        <v>19</v>
      </c>
      <c r="M490" s="30"/>
      <c r="N490" s="30">
        <v>37.72</v>
      </c>
      <c r="O490" s="287">
        <f t="shared" si="194"/>
        <v>0</v>
      </c>
      <c r="P490" s="287">
        <f t="shared" si="195"/>
        <v>0</v>
      </c>
      <c r="Q490" s="288"/>
      <c r="R490" s="243"/>
      <c r="S490" s="378" t="str">
        <f t="shared" si="178"/>
        <v/>
      </c>
    </row>
    <row r="491" spans="2:19" hidden="1" x14ac:dyDescent="0.2">
      <c r="B491" s="730" t="s">
        <v>168</v>
      </c>
      <c r="C491" s="300"/>
      <c r="D491" s="417" t="s">
        <v>213</v>
      </c>
      <c r="E491" s="704"/>
      <c r="F491" s="661">
        <v>500</v>
      </c>
      <c r="G491" s="665">
        <f>ROUND(0.031*0.27,4)</f>
        <v>8.3999999999999995E-3</v>
      </c>
      <c r="H491" s="664">
        <f>IF(F491&lt;=30,(0.75*F491+6.29)*G491,((0.75*30+6.29)+0.62*(F491-30))*G491)</f>
        <v>2.6895959999999999</v>
      </c>
      <c r="I491" s="380">
        <v>0</v>
      </c>
      <c r="J491" s="631"/>
      <c r="K491" s="593"/>
      <c r="L491" s="427" t="s">
        <v>755</v>
      </c>
      <c r="M491" s="418"/>
      <c r="N491" s="419"/>
      <c r="O491" s="287">
        <f t="shared" si="194"/>
        <v>0</v>
      </c>
      <c r="P491" s="287">
        <f t="shared" si="195"/>
        <v>0</v>
      </c>
      <c r="Q491" s="288"/>
      <c r="R491" s="311" t="str">
        <f>IF(P490&gt;0,"xy","")</f>
        <v/>
      </c>
      <c r="S491" s="378" t="str">
        <f t="shared" si="178"/>
        <v/>
      </c>
    </row>
    <row r="492" spans="2:19" hidden="1" x14ac:dyDescent="0.2">
      <c r="B492" s="730" t="s">
        <v>168</v>
      </c>
      <c r="C492" s="300"/>
      <c r="D492" s="417" t="s">
        <v>249</v>
      </c>
      <c r="E492" s="704"/>
      <c r="F492" s="661">
        <v>180</v>
      </c>
      <c r="G492" s="665">
        <f>ROUND(0.031*0.96,4)</f>
        <v>2.98E-2</v>
      </c>
      <c r="H492" s="663">
        <f t="shared" ref="H492:H494" si="202">IF(F492&lt;=30,(1.05*F492+2.18)*G492,((1.05*30+2.18)+0.87*(F492-30))*G492)</f>
        <v>4.8925640000000001</v>
      </c>
      <c r="I492" s="380">
        <v>0</v>
      </c>
      <c r="J492" s="631"/>
      <c r="K492" s="593"/>
      <c r="L492" s="427" t="s">
        <v>755</v>
      </c>
      <c r="M492" s="418"/>
      <c r="N492" s="419"/>
      <c r="O492" s="287">
        <f t="shared" si="194"/>
        <v>0</v>
      </c>
      <c r="P492" s="287">
        <f t="shared" si="195"/>
        <v>0</v>
      </c>
      <c r="Q492" s="288"/>
      <c r="R492" s="311" t="str">
        <f>IF(P490&gt;0,"xy","")</f>
        <v/>
      </c>
      <c r="S492" s="378" t="str">
        <f t="shared" si="178"/>
        <v/>
      </c>
    </row>
    <row r="493" spans="2:19" hidden="1" x14ac:dyDescent="0.2">
      <c r="B493" s="730" t="s">
        <v>168</v>
      </c>
      <c r="C493" s="300"/>
      <c r="D493" s="417" t="s">
        <v>253</v>
      </c>
      <c r="E493" s="704"/>
      <c r="F493" s="661">
        <v>20</v>
      </c>
      <c r="G493" s="665">
        <f>ROUND(0.031*1.11,4)</f>
        <v>3.44E-2</v>
      </c>
      <c r="H493" s="663">
        <f t="shared" si="202"/>
        <v>0.79739199999999999</v>
      </c>
      <c r="I493" s="380">
        <v>0</v>
      </c>
      <c r="J493" s="631"/>
      <c r="K493" s="593"/>
      <c r="L493" s="427" t="s">
        <v>755</v>
      </c>
      <c r="M493" s="418"/>
      <c r="N493" s="419"/>
      <c r="O493" s="287">
        <f t="shared" si="194"/>
        <v>0</v>
      </c>
      <c r="P493" s="287">
        <f t="shared" si="195"/>
        <v>0</v>
      </c>
      <c r="Q493" s="288"/>
      <c r="R493" s="311" t="str">
        <f>IF(P490&gt;0,"xy","")</f>
        <v/>
      </c>
      <c r="S493" s="378" t="str">
        <f t="shared" si="178"/>
        <v/>
      </c>
    </row>
    <row r="494" spans="2:19" hidden="1" x14ac:dyDescent="0.2">
      <c r="B494" s="730">
        <v>810650</v>
      </c>
      <c r="C494" s="300" t="s">
        <v>207</v>
      </c>
      <c r="D494" s="383" t="s">
        <v>2014</v>
      </c>
      <c r="E494" s="704"/>
      <c r="F494" s="661">
        <v>10</v>
      </c>
      <c r="G494" s="665">
        <v>7.2599999999999998E-2</v>
      </c>
      <c r="H494" s="663">
        <f t="shared" si="202"/>
        <v>0.92056799999999994</v>
      </c>
      <c r="I494" s="380">
        <v>37.680000000000007</v>
      </c>
      <c r="J494" s="631">
        <f t="shared" ref="J494" si="203">IF(ISBLANK(I494),"",SUM(H494:I494))</f>
        <v>38.60056800000001</v>
      </c>
      <c r="K494" s="593">
        <f t="shared" si="200"/>
        <v>48.93</v>
      </c>
      <c r="L494" s="382" t="s">
        <v>19</v>
      </c>
      <c r="M494" s="30"/>
      <c r="N494" s="30">
        <v>48.93</v>
      </c>
      <c r="O494" s="287">
        <f t="shared" si="194"/>
        <v>0</v>
      </c>
      <c r="P494" s="287">
        <f t="shared" si="195"/>
        <v>0</v>
      </c>
      <c r="Q494" s="288"/>
      <c r="R494" s="243"/>
      <c r="S494" s="378" t="str">
        <f t="shared" si="178"/>
        <v/>
      </c>
    </row>
    <row r="495" spans="2:19" hidden="1" x14ac:dyDescent="0.2">
      <c r="B495" s="730">
        <v>810300</v>
      </c>
      <c r="C495" s="300" t="s">
        <v>207</v>
      </c>
      <c r="D495" s="383" t="s">
        <v>273</v>
      </c>
      <c r="E495" s="704"/>
      <c r="F495" s="661"/>
      <c r="G495" s="665"/>
      <c r="H495" s="664">
        <f>SUM(H496:H498)</f>
        <v>9.1719020000000011</v>
      </c>
      <c r="I495" s="380">
        <v>20.619999999999997</v>
      </c>
      <c r="J495" s="631">
        <f t="shared" si="197"/>
        <v>29.791902</v>
      </c>
      <c r="K495" s="593">
        <f t="shared" si="200"/>
        <v>37.76</v>
      </c>
      <c r="L495" s="382" t="s">
        <v>19</v>
      </c>
      <c r="M495" s="30"/>
      <c r="N495" s="30">
        <v>37.76</v>
      </c>
      <c r="O495" s="287">
        <f t="shared" si="194"/>
        <v>0</v>
      </c>
      <c r="P495" s="287">
        <f t="shared" si="195"/>
        <v>0</v>
      </c>
      <c r="Q495" s="288"/>
      <c r="R495" s="243"/>
      <c r="S495" s="378" t="str">
        <f t="shared" si="178"/>
        <v/>
      </c>
    </row>
    <row r="496" spans="2:19" hidden="1" x14ac:dyDescent="0.2">
      <c r="B496" s="730" t="s">
        <v>168</v>
      </c>
      <c r="C496" s="300"/>
      <c r="D496" s="417" t="s">
        <v>213</v>
      </c>
      <c r="E496" s="704"/>
      <c r="F496" s="661">
        <v>500</v>
      </c>
      <c r="G496" s="665">
        <f>ROUND(0.034*0.27,4)</f>
        <v>9.1999999999999998E-3</v>
      </c>
      <c r="H496" s="664">
        <f>IF(F496&lt;=30,(0.75*F496+6.29)*G496,((0.75*30+6.29)+0.62*(F496-30))*G496)</f>
        <v>2.945748</v>
      </c>
      <c r="I496" s="380">
        <v>0</v>
      </c>
      <c r="J496" s="631"/>
      <c r="K496" s="593"/>
      <c r="L496" s="427" t="s">
        <v>755</v>
      </c>
      <c r="M496" s="418"/>
      <c r="N496" s="419"/>
      <c r="O496" s="287">
        <f t="shared" si="194"/>
        <v>0</v>
      </c>
      <c r="P496" s="287">
        <f t="shared" si="195"/>
        <v>0</v>
      </c>
      <c r="Q496" s="288"/>
      <c r="R496" s="311" t="str">
        <f>IF(P495&gt;0,"xy","")</f>
        <v/>
      </c>
      <c r="S496" s="378" t="str">
        <f t="shared" ref="S496:S562" si="204">IF(R496="x","x",IF(R496="y","x",IF(R496="xy","x",IF(P496&gt;0,"x",""))))</f>
        <v/>
      </c>
    </row>
    <row r="497" spans="2:19" hidden="1" x14ac:dyDescent="0.2">
      <c r="B497" s="730" t="s">
        <v>168</v>
      </c>
      <c r="C497" s="300"/>
      <c r="D497" s="417" t="s">
        <v>249</v>
      </c>
      <c r="E497" s="704"/>
      <c r="F497" s="661">
        <v>180</v>
      </c>
      <c r="G497" s="665">
        <f>ROUND(0.034*0.96,4)</f>
        <v>3.2599999999999997E-2</v>
      </c>
      <c r="H497" s="663">
        <f t="shared" ref="H497:H499" si="205">IF(F497&lt;=30,(1.05*F497+2.18)*G497,((1.05*30+2.18)+0.87*(F497-30))*G497)</f>
        <v>5.3522679999999996</v>
      </c>
      <c r="I497" s="380">
        <v>0</v>
      </c>
      <c r="J497" s="631"/>
      <c r="K497" s="593"/>
      <c r="L497" s="427" t="s">
        <v>755</v>
      </c>
      <c r="M497" s="418"/>
      <c r="N497" s="419"/>
      <c r="O497" s="287">
        <f t="shared" si="194"/>
        <v>0</v>
      </c>
      <c r="P497" s="287">
        <f t="shared" si="195"/>
        <v>0</v>
      </c>
      <c r="Q497" s="288"/>
      <c r="R497" s="311" t="str">
        <f>IF(P495&gt;0,"xy","")</f>
        <v/>
      </c>
      <c r="S497" s="378" t="str">
        <f t="shared" si="204"/>
        <v/>
      </c>
    </row>
    <row r="498" spans="2:19" hidden="1" x14ac:dyDescent="0.2">
      <c r="B498" s="730" t="s">
        <v>168</v>
      </c>
      <c r="C498" s="300"/>
      <c r="D498" s="417" t="s">
        <v>253</v>
      </c>
      <c r="E498" s="704"/>
      <c r="F498" s="661">
        <v>20</v>
      </c>
      <c r="G498" s="665">
        <f>ROUND(0.034*1.11,4)</f>
        <v>3.7699999999999997E-2</v>
      </c>
      <c r="H498" s="663">
        <f t="shared" si="205"/>
        <v>0.87388599999999994</v>
      </c>
      <c r="I498" s="380">
        <v>0</v>
      </c>
      <c r="J498" s="631"/>
      <c r="K498" s="593"/>
      <c r="L498" s="427" t="s">
        <v>755</v>
      </c>
      <c r="M498" s="418"/>
      <c r="N498" s="419"/>
      <c r="O498" s="287">
        <f t="shared" si="194"/>
        <v>0</v>
      </c>
      <c r="P498" s="287">
        <f t="shared" si="195"/>
        <v>0</v>
      </c>
      <c r="Q498" s="288"/>
      <c r="R498" s="311" t="str">
        <f>IF(P495&gt;0,"xy","")</f>
        <v/>
      </c>
      <c r="S498" s="378" t="str">
        <f t="shared" si="204"/>
        <v/>
      </c>
    </row>
    <row r="499" spans="2:19" hidden="1" x14ac:dyDescent="0.2">
      <c r="B499" s="730" t="s">
        <v>2015</v>
      </c>
      <c r="C499" s="300" t="s">
        <v>207</v>
      </c>
      <c r="D499" s="383" t="s">
        <v>2016</v>
      </c>
      <c r="E499" s="704"/>
      <c r="F499" s="661">
        <v>10</v>
      </c>
      <c r="G499" s="665">
        <v>7.9500000000000001E-2</v>
      </c>
      <c r="H499" s="663">
        <f t="shared" si="205"/>
        <v>1.00806</v>
      </c>
      <c r="I499" s="380">
        <v>36.92</v>
      </c>
      <c r="J499" s="631">
        <f t="shared" si="197"/>
        <v>37.928060000000002</v>
      </c>
      <c r="K499" s="593">
        <f t="shared" si="200"/>
        <v>48.07</v>
      </c>
      <c r="L499" s="382" t="s">
        <v>19</v>
      </c>
      <c r="M499" s="30"/>
      <c r="N499" s="30">
        <v>48.07</v>
      </c>
      <c r="O499" s="287">
        <f t="shared" si="194"/>
        <v>0</v>
      </c>
      <c r="P499" s="287">
        <f t="shared" si="195"/>
        <v>0</v>
      </c>
      <c r="Q499" s="288"/>
      <c r="R499" s="243"/>
      <c r="S499" s="378" t="str">
        <f t="shared" si="204"/>
        <v/>
      </c>
    </row>
    <row r="500" spans="2:19" hidden="1" x14ac:dyDescent="0.2">
      <c r="B500" s="730">
        <v>810400</v>
      </c>
      <c r="C500" s="300" t="s">
        <v>207</v>
      </c>
      <c r="D500" s="383" t="s">
        <v>2017</v>
      </c>
      <c r="E500" s="704"/>
      <c r="F500" s="661"/>
      <c r="G500" s="665"/>
      <c r="H500" s="664">
        <f>SUM(H501:H503)</f>
        <v>19.408605999999999</v>
      </c>
      <c r="I500" s="380">
        <v>38.15</v>
      </c>
      <c r="J500" s="631">
        <f t="shared" si="197"/>
        <v>57.558605999999997</v>
      </c>
      <c r="K500" s="593">
        <f t="shared" si="200"/>
        <v>72.959999999999994</v>
      </c>
      <c r="L500" s="382" t="s">
        <v>19</v>
      </c>
      <c r="M500" s="30"/>
      <c r="N500" s="30">
        <v>72.959999999999994</v>
      </c>
      <c r="O500" s="287">
        <f t="shared" si="194"/>
        <v>0</v>
      </c>
      <c r="P500" s="287">
        <f t="shared" si="195"/>
        <v>0</v>
      </c>
      <c r="Q500" s="288"/>
      <c r="R500" s="243"/>
      <c r="S500" s="378" t="str">
        <f t="shared" si="204"/>
        <v/>
      </c>
    </row>
    <row r="501" spans="2:19" hidden="1" x14ac:dyDescent="0.2">
      <c r="B501" s="730" t="s">
        <v>168</v>
      </c>
      <c r="C501" s="300"/>
      <c r="D501" s="417" t="s">
        <v>213</v>
      </c>
      <c r="E501" s="704"/>
      <c r="F501" s="661">
        <v>500</v>
      </c>
      <c r="G501" s="665">
        <f>ROUND(0.072*0.27,4)</f>
        <v>1.9400000000000001E-2</v>
      </c>
      <c r="H501" s="664">
        <f>IF(F501&lt;=30,(0.75*F501+6.29)*G501,((0.75*30+6.29)+0.62*(F501-30))*G501)</f>
        <v>6.2116860000000003</v>
      </c>
      <c r="I501" s="380">
        <v>0</v>
      </c>
      <c r="J501" s="631"/>
      <c r="K501" s="593"/>
      <c r="L501" s="427" t="s">
        <v>755</v>
      </c>
      <c r="M501" s="418"/>
      <c r="N501" s="419"/>
      <c r="O501" s="287">
        <f t="shared" si="194"/>
        <v>0</v>
      </c>
      <c r="P501" s="287">
        <f t="shared" si="195"/>
        <v>0</v>
      </c>
      <c r="Q501" s="288"/>
      <c r="R501" s="311" t="str">
        <f>IF(P500&gt;0,"xy","")</f>
        <v/>
      </c>
      <c r="S501" s="378" t="str">
        <f t="shared" si="204"/>
        <v/>
      </c>
    </row>
    <row r="502" spans="2:19" hidden="1" x14ac:dyDescent="0.2">
      <c r="B502" s="730" t="s">
        <v>168</v>
      </c>
      <c r="C502" s="300"/>
      <c r="D502" s="417" t="s">
        <v>249</v>
      </c>
      <c r="E502" s="704"/>
      <c r="F502" s="661">
        <v>180</v>
      </c>
      <c r="G502" s="665">
        <f>ROUND(0.072*0.96,4)</f>
        <v>6.9099999999999995E-2</v>
      </c>
      <c r="H502" s="663">
        <f t="shared" ref="H502:H504" si="206">IF(F502&lt;=30,(1.05*F502+2.18)*G502,((1.05*30+2.18)+0.87*(F502-30))*G502)</f>
        <v>11.344837999999999</v>
      </c>
      <c r="I502" s="380">
        <v>0</v>
      </c>
      <c r="J502" s="631"/>
      <c r="K502" s="593"/>
      <c r="L502" s="427" t="s">
        <v>755</v>
      </c>
      <c r="M502" s="418"/>
      <c r="N502" s="419"/>
      <c r="O502" s="287">
        <f t="shared" si="194"/>
        <v>0</v>
      </c>
      <c r="P502" s="287">
        <f t="shared" si="195"/>
        <v>0</v>
      </c>
      <c r="Q502" s="288"/>
      <c r="R502" s="311" t="str">
        <f>IF(P500&gt;0,"xy","")</f>
        <v/>
      </c>
      <c r="S502" s="378" t="str">
        <f t="shared" si="204"/>
        <v/>
      </c>
    </row>
    <row r="503" spans="2:19" hidden="1" x14ac:dyDescent="0.2">
      <c r="B503" s="730" t="s">
        <v>168</v>
      </c>
      <c r="C503" s="300"/>
      <c r="D503" s="417" t="s">
        <v>253</v>
      </c>
      <c r="E503" s="704"/>
      <c r="F503" s="661">
        <v>20</v>
      </c>
      <c r="G503" s="665">
        <f>ROUND(0.072*1.11,4)</f>
        <v>7.9899999999999999E-2</v>
      </c>
      <c r="H503" s="663">
        <f t="shared" si="206"/>
        <v>1.852082</v>
      </c>
      <c r="I503" s="380">
        <v>0</v>
      </c>
      <c r="J503" s="631"/>
      <c r="K503" s="593"/>
      <c r="L503" s="427" t="s">
        <v>755</v>
      </c>
      <c r="M503" s="418"/>
      <c r="N503" s="419"/>
      <c r="O503" s="287">
        <f t="shared" si="194"/>
        <v>0</v>
      </c>
      <c r="P503" s="287">
        <f t="shared" si="195"/>
        <v>0</v>
      </c>
      <c r="Q503" s="288"/>
      <c r="R503" s="311" t="str">
        <f>IF(P500&gt;0,"xy","")</f>
        <v/>
      </c>
      <c r="S503" s="378" t="str">
        <f t="shared" si="204"/>
        <v/>
      </c>
    </row>
    <row r="504" spans="2:19" hidden="1" x14ac:dyDescent="0.2">
      <c r="B504" s="730">
        <v>810350</v>
      </c>
      <c r="C504" s="300" t="s">
        <v>207</v>
      </c>
      <c r="D504" s="383" t="s">
        <v>2018</v>
      </c>
      <c r="E504" s="704"/>
      <c r="F504" s="661">
        <v>10</v>
      </c>
      <c r="G504" s="665">
        <v>0.16839999999999999</v>
      </c>
      <c r="H504" s="663">
        <f t="shared" si="206"/>
        <v>2.1353119999999999</v>
      </c>
      <c r="I504" s="380">
        <v>59.17</v>
      </c>
      <c r="J504" s="631">
        <f t="shared" ref="J504" si="207">IF(ISBLANK(I504),"",SUM(H504:I504))</f>
        <v>61.305312000000001</v>
      </c>
      <c r="K504" s="593">
        <f t="shared" si="200"/>
        <v>77.7</v>
      </c>
      <c r="L504" s="382" t="s">
        <v>19</v>
      </c>
      <c r="M504" s="415"/>
      <c r="N504" s="415">
        <v>77.7</v>
      </c>
      <c r="O504" s="287">
        <f t="shared" si="194"/>
        <v>0</v>
      </c>
      <c r="P504" s="384">
        <f t="shared" si="195"/>
        <v>0</v>
      </c>
      <c r="Q504" s="288"/>
      <c r="R504" s="243"/>
      <c r="S504" s="378" t="str">
        <f t="shared" si="204"/>
        <v/>
      </c>
    </row>
    <row r="505" spans="2:19" hidden="1" x14ac:dyDescent="0.2">
      <c r="B505" s="608" t="s">
        <v>188</v>
      </c>
      <c r="C505" s="638"/>
      <c r="D505" s="386" t="s">
        <v>236</v>
      </c>
      <c r="E505" s="387"/>
      <c r="F505" s="388"/>
      <c r="G505" s="389"/>
      <c r="H505" s="390"/>
      <c r="I505" s="391"/>
      <c r="J505" s="391"/>
      <c r="K505" s="391"/>
      <c r="L505" s="391" t="s">
        <v>755</v>
      </c>
      <c r="M505" s="390"/>
      <c r="N505" s="391"/>
      <c r="O505" s="391"/>
      <c r="P505" s="392"/>
      <c r="Q505" s="288"/>
      <c r="R505" s="377" t="str">
        <f>IF(SUM(P506:P530)&gt;0,"y","")</f>
        <v/>
      </c>
      <c r="S505" s="378" t="str">
        <f t="shared" si="204"/>
        <v/>
      </c>
    </row>
    <row r="506" spans="2:19" hidden="1" x14ac:dyDescent="0.2">
      <c r="B506" s="609" t="s">
        <v>188</v>
      </c>
      <c r="C506" s="746" t="s">
        <v>188</v>
      </c>
      <c r="D506" s="393"/>
      <c r="E506" s="394"/>
      <c r="F506" s="402"/>
      <c r="G506" s="396"/>
      <c r="H506" s="395"/>
      <c r="I506" s="397"/>
      <c r="J506" s="398"/>
      <c r="K506" s="399">
        <f t="shared" ref="K506:K529" si="208">IF(ISBLANK(J506),0,ROUND(J506*(1+$F$10)*(1+$F$11*E506),2))</f>
        <v>0</v>
      </c>
      <c r="L506" s="400" t="s">
        <v>755</v>
      </c>
      <c r="M506" s="415"/>
      <c r="N506" s="415">
        <v>0</v>
      </c>
      <c r="O506" s="287">
        <f t="shared" ref="O506" si="209">IF(ISBLANK(M506),0,ROUND(K506*M506,2))</f>
        <v>0</v>
      </c>
      <c r="P506" s="384">
        <f t="shared" ref="P506:P530" si="210">IF(ISBLANK(N506),0,ROUND(M506*N506,2))</f>
        <v>0</v>
      </c>
      <c r="Q506" s="288"/>
      <c r="R506" s="243"/>
      <c r="S506" s="378" t="str">
        <f t="shared" si="204"/>
        <v/>
      </c>
    </row>
    <row r="507" spans="2:19" hidden="1" x14ac:dyDescent="0.2">
      <c r="B507" s="609" t="s">
        <v>188</v>
      </c>
      <c r="C507" s="746" t="s">
        <v>188</v>
      </c>
      <c r="D507" s="401"/>
      <c r="E507" s="394"/>
      <c r="F507" s="402"/>
      <c r="G507" s="396"/>
      <c r="H507" s="395"/>
      <c r="I507" s="397"/>
      <c r="J507" s="398"/>
      <c r="K507" s="403">
        <f t="shared" si="208"/>
        <v>0</v>
      </c>
      <c r="L507" s="400" t="s">
        <v>755</v>
      </c>
      <c r="M507" s="30"/>
      <c r="N507" s="30">
        <v>0</v>
      </c>
      <c r="O507" s="287">
        <f>IF(ISBLANK(M507),0,ROUND(K507*M507,2))</f>
        <v>0</v>
      </c>
      <c r="P507" s="287">
        <f t="shared" si="210"/>
        <v>0</v>
      </c>
      <c r="Q507" s="288"/>
      <c r="R507" s="243"/>
      <c r="S507" s="378" t="str">
        <f t="shared" si="204"/>
        <v/>
      </c>
    </row>
    <row r="508" spans="2:19" hidden="1" x14ac:dyDescent="0.2">
      <c r="B508" s="609" t="s">
        <v>188</v>
      </c>
      <c r="C508" s="746" t="s">
        <v>188</v>
      </c>
      <c r="D508" s="401"/>
      <c r="E508" s="394"/>
      <c r="F508" s="402"/>
      <c r="G508" s="396"/>
      <c r="H508" s="395"/>
      <c r="I508" s="397"/>
      <c r="J508" s="398"/>
      <c r="K508" s="403">
        <f t="shared" si="208"/>
        <v>0</v>
      </c>
      <c r="L508" s="400" t="s">
        <v>755</v>
      </c>
      <c r="M508" s="30"/>
      <c r="N508" s="30">
        <v>0</v>
      </c>
      <c r="O508" s="287">
        <f t="shared" ref="O508:O530" si="211">IF(ISBLANK(M508),0,ROUND(K508*M508,2))</f>
        <v>0</v>
      </c>
      <c r="P508" s="287">
        <f t="shared" si="210"/>
        <v>0</v>
      </c>
      <c r="Q508" s="288"/>
      <c r="R508" s="243"/>
      <c r="S508" s="378" t="str">
        <f t="shared" si="204"/>
        <v/>
      </c>
    </row>
    <row r="509" spans="2:19" hidden="1" x14ac:dyDescent="0.2">
      <c r="B509" s="609" t="s">
        <v>188</v>
      </c>
      <c r="C509" s="746" t="s">
        <v>188</v>
      </c>
      <c r="D509" s="401"/>
      <c r="E509" s="394"/>
      <c r="F509" s="402"/>
      <c r="G509" s="396"/>
      <c r="H509" s="395"/>
      <c r="I509" s="397"/>
      <c r="J509" s="398"/>
      <c r="K509" s="403">
        <f t="shared" si="208"/>
        <v>0</v>
      </c>
      <c r="L509" s="400" t="s">
        <v>755</v>
      </c>
      <c r="M509" s="30"/>
      <c r="N509" s="30">
        <v>0</v>
      </c>
      <c r="O509" s="287">
        <f t="shared" si="211"/>
        <v>0</v>
      </c>
      <c r="P509" s="287">
        <f t="shared" si="210"/>
        <v>0</v>
      </c>
      <c r="Q509" s="288"/>
      <c r="R509" s="243"/>
      <c r="S509" s="378" t="str">
        <f t="shared" si="204"/>
        <v/>
      </c>
    </row>
    <row r="510" spans="2:19" hidden="1" x14ac:dyDescent="0.2">
      <c r="B510" s="609" t="s">
        <v>188</v>
      </c>
      <c r="C510" s="746" t="s">
        <v>188</v>
      </c>
      <c r="D510" s="401"/>
      <c r="E510" s="394"/>
      <c r="F510" s="402"/>
      <c r="G510" s="396"/>
      <c r="H510" s="395"/>
      <c r="I510" s="397"/>
      <c r="J510" s="398"/>
      <c r="K510" s="403">
        <f t="shared" si="208"/>
        <v>0</v>
      </c>
      <c r="L510" s="400" t="s">
        <v>755</v>
      </c>
      <c r="M510" s="30"/>
      <c r="N510" s="30">
        <v>0</v>
      </c>
      <c r="O510" s="287">
        <f t="shared" si="211"/>
        <v>0</v>
      </c>
      <c r="P510" s="287">
        <f t="shared" si="210"/>
        <v>0</v>
      </c>
      <c r="Q510" s="288"/>
      <c r="R510" s="243"/>
      <c r="S510" s="378" t="str">
        <f t="shared" si="204"/>
        <v/>
      </c>
    </row>
    <row r="511" spans="2:19" hidden="1" x14ac:dyDescent="0.2">
      <c r="B511" s="609" t="s">
        <v>188</v>
      </c>
      <c r="C511" s="746" t="s">
        <v>188</v>
      </c>
      <c r="D511" s="401"/>
      <c r="E511" s="394"/>
      <c r="F511" s="402"/>
      <c r="G511" s="396"/>
      <c r="H511" s="395"/>
      <c r="I511" s="397"/>
      <c r="J511" s="398"/>
      <c r="K511" s="403">
        <f t="shared" si="208"/>
        <v>0</v>
      </c>
      <c r="L511" s="400" t="s">
        <v>755</v>
      </c>
      <c r="M511" s="30"/>
      <c r="N511" s="30">
        <v>0</v>
      </c>
      <c r="O511" s="287">
        <f t="shared" si="211"/>
        <v>0</v>
      </c>
      <c r="P511" s="287">
        <f t="shared" si="210"/>
        <v>0</v>
      </c>
      <c r="Q511" s="288"/>
      <c r="R511" s="243"/>
      <c r="S511" s="378" t="str">
        <f t="shared" si="204"/>
        <v/>
      </c>
    </row>
    <row r="512" spans="2:19" hidden="1" x14ac:dyDescent="0.2">
      <c r="B512" s="609" t="s">
        <v>188</v>
      </c>
      <c r="C512" s="746" t="s">
        <v>188</v>
      </c>
      <c r="D512" s="401"/>
      <c r="E512" s="394"/>
      <c r="F512" s="402"/>
      <c r="G512" s="396"/>
      <c r="H512" s="395"/>
      <c r="I512" s="397"/>
      <c r="J512" s="398"/>
      <c r="K512" s="403">
        <f t="shared" si="208"/>
        <v>0</v>
      </c>
      <c r="L512" s="400" t="s">
        <v>755</v>
      </c>
      <c r="M512" s="30"/>
      <c r="N512" s="30">
        <v>0</v>
      </c>
      <c r="O512" s="287">
        <f t="shared" si="211"/>
        <v>0</v>
      </c>
      <c r="P512" s="287">
        <f t="shared" si="210"/>
        <v>0</v>
      </c>
      <c r="Q512" s="288"/>
      <c r="R512" s="243"/>
      <c r="S512" s="378" t="str">
        <f t="shared" si="204"/>
        <v/>
      </c>
    </row>
    <row r="513" spans="2:19" hidden="1" x14ac:dyDescent="0.2">
      <c r="B513" s="609" t="s">
        <v>188</v>
      </c>
      <c r="C513" s="746" t="s">
        <v>188</v>
      </c>
      <c r="D513" s="401"/>
      <c r="E513" s="394"/>
      <c r="F513" s="402"/>
      <c r="G513" s="396"/>
      <c r="H513" s="395"/>
      <c r="I513" s="397"/>
      <c r="J513" s="398"/>
      <c r="K513" s="403">
        <f t="shared" si="208"/>
        <v>0</v>
      </c>
      <c r="L513" s="400" t="s">
        <v>755</v>
      </c>
      <c r="M513" s="30"/>
      <c r="N513" s="30">
        <v>0</v>
      </c>
      <c r="O513" s="287">
        <f t="shared" si="211"/>
        <v>0</v>
      </c>
      <c r="P513" s="287">
        <f t="shared" si="210"/>
        <v>0</v>
      </c>
      <c r="Q513" s="288"/>
      <c r="R513" s="243"/>
      <c r="S513" s="378" t="str">
        <f t="shared" si="204"/>
        <v/>
      </c>
    </row>
    <row r="514" spans="2:19" hidden="1" x14ac:dyDescent="0.2">
      <c r="B514" s="609" t="s">
        <v>188</v>
      </c>
      <c r="C514" s="746" t="s">
        <v>188</v>
      </c>
      <c r="D514" s="401"/>
      <c r="E514" s="394"/>
      <c r="F514" s="402"/>
      <c r="G514" s="396"/>
      <c r="H514" s="395"/>
      <c r="I514" s="397"/>
      <c r="J514" s="398"/>
      <c r="K514" s="403">
        <f t="shared" si="208"/>
        <v>0</v>
      </c>
      <c r="L514" s="400" t="s">
        <v>755</v>
      </c>
      <c r="M514" s="30"/>
      <c r="N514" s="30">
        <v>0</v>
      </c>
      <c r="O514" s="287">
        <f t="shared" si="211"/>
        <v>0</v>
      </c>
      <c r="P514" s="287">
        <f t="shared" si="210"/>
        <v>0</v>
      </c>
      <c r="Q514" s="288"/>
      <c r="R514" s="243"/>
      <c r="S514" s="378" t="str">
        <f t="shared" si="204"/>
        <v/>
      </c>
    </row>
    <row r="515" spans="2:19" hidden="1" x14ac:dyDescent="0.2">
      <c r="B515" s="609" t="s">
        <v>188</v>
      </c>
      <c r="C515" s="746" t="s">
        <v>188</v>
      </c>
      <c r="D515" s="401"/>
      <c r="E515" s="394"/>
      <c r="F515" s="402"/>
      <c r="G515" s="396"/>
      <c r="H515" s="395"/>
      <c r="I515" s="397"/>
      <c r="J515" s="398"/>
      <c r="K515" s="403">
        <f t="shared" si="208"/>
        <v>0</v>
      </c>
      <c r="L515" s="400" t="s">
        <v>755</v>
      </c>
      <c r="M515" s="30"/>
      <c r="N515" s="30">
        <v>0</v>
      </c>
      <c r="O515" s="287">
        <f t="shared" si="211"/>
        <v>0</v>
      </c>
      <c r="P515" s="287">
        <f t="shared" si="210"/>
        <v>0</v>
      </c>
      <c r="Q515" s="288"/>
      <c r="R515" s="243"/>
      <c r="S515" s="378" t="str">
        <f t="shared" si="204"/>
        <v/>
      </c>
    </row>
    <row r="516" spans="2:19" hidden="1" x14ac:dyDescent="0.2">
      <c r="B516" s="609" t="s">
        <v>188</v>
      </c>
      <c r="C516" s="746" t="s">
        <v>188</v>
      </c>
      <c r="D516" s="401"/>
      <c r="E516" s="394"/>
      <c r="F516" s="402"/>
      <c r="G516" s="396"/>
      <c r="H516" s="395"/>
      <c r="I516" s="397"/>
      <c r="J516" s="398"/>
      <c r="K516" s="403">
        <f t="shared" si="208"/>
        <v>0</v>
      </c>
      <c r="L516" s="400" t="s">
        <v>755</v>
      </c>
      <c r="M516" s="30"/>
      <c r="N516" s="30">
        <v>0</v>
      </c>
      <c r="O516" s="287">
        <f t="shared" si="211"/>
        <v>0</v>
      </c>
      <c r="P516" s="287">
        <f t="shared" si="210"/>
        <v>0</v>
      </c>
      <c r="Q516" s="288"/>
      <c r="R516" s="243"/>
      <c r="S516" s="378" t="str">
        <f t="shared" si="204"/>
        <v/>
      </c>
    </row>
    <row r="517" spans="2:19" hidden="1" x14ac:dyDescent="0.2">
      <c r="B517" s="609" t="s">
        <v>188</v>
      </c>
      <c r="C517" s="746" t="s">
        <v>188</v>
      </c>
      <c r="D517" s="401"/>
      <c r="E517" s="394"/>
      <c r="F517" s="402"/>
      <c r="G517" s="396"/>
      <c r="H517" s="395"/>
      <c r="I517" s="397"/>
      <c r="J517" s="398"/>
      <c r="K517" s="403">
        <f t="shared" si="208"/>
        <v>0</v>
      </c>
      <c r="L517" s="400" t="s">
        <v>755</v>
      </c>
      <c r="M517" s="30"/>
      <c r="N517" s="30">
        <v>0</v>
      </c>
      <c r="O517" s="287">
        <f t="shared" si="211"/>
        <v>0</v>
      </c>
      <c r="P517" s="287">
        <f t="shared" si="210"/>
        <v>0</v>
      </c>
      <c r="Q517" s="288"/>
      <c r="R517" s="243"/>
      <c r="S517" s="378" t="str">
        <f t="shared" si="204"/>
        <v/>
      </c>
    </row>
    <row r="518" spans="2:19" hidden="1" x14ac:dyDescent="0.2">
      <c r="B518" s="609" t="s">
        <v>188</v>
      </c>
      <c r="C518" s="746" t="s">
        <v>188</v>
      </c>
      <c r="D518" s="401"/>
      <c r="E518" s="394"/>
      <c r="F518" s="402"/>
      <c r="G518" s="396"/>
      <c r="H518" s="395"/>
      <c r="I518" s="397"/>
      <c r="J518" s="398"/>
      <c r="K518" s="403">
        <f t="shared" si="208"/>
        <v>0</v>
      </c>
      <c r="L518" s="400" t="s">
        <v>755</v>
      </c>
      <c r="M518" s="30"/>
      <c r="N518" s="30">
        <v>0</v>
      </c>
      <c r="O518" s="287">
        <f t="shared" si="211"/>
        <v>0</v>
      </c>
      <c r="P518" s="287">
        <f t="shared" si="210"/>
        <v>0</v>
      </c>
      <c r="Q518" s="288"/>
      <c r="R518" s="243"/>
      <c r="S518" s="378" t="str">
        <f t="shared" si="204"/>
        <v/>
      </c>
    </row>
    <row r="519" spans="2:19" hidden="1" x14ac:dyDescent="0.2">
      <c r="B519" s="609" t="s">
        <v>188</v>
      </c>
      <c r="C519" s="746" t="s">
        <v>188</v>
      </c>
      <c r="D519" s="401"/>
      <c r="E519" s="394"/>
      <c r="F519" s="402"/>
      <c r="G519" s="396"/>
      <c r="H519" s="395"/>
      <c r="I519" s="397"/>
      <c r="J519" s="398"/>
      <c r="K519" s="403">
        <f t="shared" si="208"/>
        <v>0</v>
      </c>
      <c r="L519" s="400" t="s">
        <v>755</v>
      </c>
      <c r="M519" s="30"/>
      <c r="N519" s="30">
        <v>0</v>
      </c>
      <c r="O519" s="287">
        <f t="shared" si="211"/>
        <v>0</v>
      </c>
      <c r="P519" s="287">
        <f t="shared" si="210"/>
        <v>0</v>
      </c>
      <c r="Q519" s="288"/>
      <c r="R519" s="243"/>
      <c r="S519" s="378" t="str">
        <f t="shared" si="204"/>
        <v/>
      </c>
    </row>
    <row r="520" spans="2:19" hidden="1" x14ac:dyDescent="0.2">
      <c r="B520" s="609" t="s">
        <v>188</v>
      </c>
      <c r="C520" s="746" t="s">
        <v>188</v>
      </c>
      <c r="D520" s="401"/>
      <c r="E520" s="394"/>
      <c r="F520" s="402"/>
      <c r="G520" s="396"/>
      <c r="H520" s="395"/>
      <c r="I520" s="397"/>
      <c r="J520" s="398"/>
      <c r="K520" s="403">
        <f t="shared" si="208"/>
        <v>0</v>
      </c>
      <c r="L520" s="400" t="s">
        <v>755</v>
      </c>
      <c r="M520" s="30"/>
      <c r="N520" s="30">
        <v>0</v>
      </c>
      <c r="O520" s="287">
        <f t="shared" si="211"/>
        <v>0</v>
      </c>
      <c r="P520" s="287">
        <f t="shared" si="210"/>
        <v>0</v>
      </c>
      <c r="Q520" s="288"/>
      <c r="R520" s="243"/>
      <c r="S520" s="378" t="str">
        <f t="shared" si="204"/>
        <v/>
      </c>
    </row>
    <row r="521" spans="2:19" hidden="1" x14ac:dyDescent="0.2">
      <c r="B521" s="609" t="s">
        <v>188</v>
      </c>
      <c r="C521" s="746" t="s">
        <v>188</v>
      </c>
      <c r="D521" s="401"/>
      <c r="E521" s="394"/>
      <c r="F521" s="402"/>
      <c r="G521" s="396"/>
      <c r="H521" s="395"/>
      <c r="I521" s="397"/>
      <c r="J521" s="398"/>
      <c r="K521" s="403">
        <f t="shared" si="208"/>
        <v>0</v>
      </c>
      <c r="L521" s="400" t="s">
        <v>755</v>
      </c>
      <c r="M521" s="30"/>
      <c r="N521" s="30">
        <v>0</v>
      </c>
      <c r="O521" s="287">
        <f t="shared" si="211"/>
        <v>0</v>
      </c>
      <c r="P521" s="287">
        <f t="shared" si="210"/>
        <v>0</v>
      </c>
      <c r="Q521" s="288"/>
      <c r="R521" s="243"/>
      <c r="S521" s="378" t="str">
        <f t="shared" si="204"/>
        <v/>
      </c>
    </row>
    <row r="522" spans="2:19" hidden="1" x14ac:dyDescent="0.2">
      <c r="B522" s="609" t="s">
        <v>188</v>
      </c>
      <c r="C522" s="746" t="s">
        <v>188</v>
      </c>
      <c r="D522" s="401"/>
      <c r="E522" s="394"/>
      <c r="F522" s="402"/>
      <c r="G522" s="396"/>
      <c r="H522" s="395"/>
      <c r="I522" s="397"/>
      <c r="J522" s="398"/>
      <c r="K522" s="403">
        <f t="shared" si="208"/>
        <v>0</v>
      </c>
      <c r="L522" s="400" t="s">
        <v>755</v>
      </c>
      <c r="M522" s="30"/>
      <c r="N522" s="30">
        <v>0</v>
      </c>
      <c r="O522" s="287">
        <f t="shared" si="211"/>
        <v>0</v>
      </c>
      <c r="P522" s="287">
        <f t="shared" si="210"/>
        <v>0</v>
      </c>
      <c r="Q522" s="288"/>
      <c r="R522" s="243"/>
      <c r="S522" s="378" t="str">
        <f t="shared" si="204"/>
        <v/>
      </c>
    </row>
    <row r="523" spans="2:19" hidden="1" x14ac:dyDescent="0.2">
      <c r="B523" s="609" t="s">
        <v>188</v>
      </c>
      <c r="C523" s="746" t="s">
        <v>188</v>
      </c>
      <c r="D523" s="401"/>
      <c r="E523" s="394"/>
      <c r="F523" s="402"/>
      <c r="G523" s="396"/>
      <c r="H523" s="395"/>
      <c r="I523" s="397"/>
      <c r="J523" s="398"/>
      <c r="K523" s="403">
        <f t="shared" si="208"/>
        <v>0</v>
      </c>
      <c r="L523" s="400" t="s">
        <v>755</v>
      </c>
      <c r="M523" s="30"/>
      <c r="N523" s="30">
        <v>0</v>
      </c>
      <c r="O523" s="287">
        <f t="shared" si="211"/>
        <v>0</v>
      </c>
      <c r="P523" s="287">
        <f t="shared" si="210"/>
        <v>0</v>
      </c>
      <c r="Q523" s="288"/>
      <c r="R523" s="243"/>
      <c r="S523" s="378" t="str">
        <f t="shared" si="204"/>
        <v/>
      </c>
    </row>
    <row r="524" spans="2:19" hidden="1" x14ac:dyDescent="0.2">
      <c r="B524" s="609" t="s">
        <v>188</v>
      </c>
      <c r="C524" s="746" t="s">
        <v>188</v>
      </c>
      <c r="D524" s="401"/>
      <c r="E524" s="394"/>
      <c r="F524" s="402"/>
      <c r="G524" s="396"/>
      <c r="H524" s="395"/>
      <c r="I524" s="397"/>
      <c r="J524" s="398"/>
      <c r="K524" s="403">
        <f t="shared" si="208"/>
        <v>0</v>
      </c>
      <c r="L524" s="400" t="s">
        <v>755</v>
      </c>
      <c r="M524" s="30"/>
      <c r="N524" s="30">
        <v>0</v>
      </c>
      <c r="O524" s="287">
        <f t="shared" si="211"/>
        <v>0</v>
      </c>
      <c r="P524" s="287">
        <f t="shared" si="210"/>
        <v>0</v>
      </c>
      <c r="Q524" s="288"/>
      <c r="R524" s="243"/>
      <c r="S524" s="378" t="str">
        <f t="shared" si="204"/>
        <v/>
      </c>
    </row>
    <row r="525" spans="2:19" hidden="1" x14ac:dyDescent="0.2">
      <c r="B525" s="609" t="s">
        <v>188</v>
      </c>
      <c r="C525" s="746" t="s">
        <v>188</v>
      </c>
      <c r="D525" s="401"/>
      <c r="E525" s="394"/>
      <c r="F525" s="402"/>
      <c r="G525" s="396"/>
      <c r="H525" s="395"/>
      <c r="I525" s="397"/>
      <c r="J525" s="398"/>
      <c r="K525" s="403">
        <f t="shared" si="208"/>
        <v>0</v>
      </c>
      <c r="L525" s="400" t="s">
        <v>755</v>
      </c>
      <c r="M525" s="30"/>
      <c r="N525" s="30">
        <v>0</v>
      </c>
      <c r="O525" s="287">
        <f t="shared" si="211"/>
        <v>0</v>
      </c>
      <c r="P525" s="287">
        <f t="shared" si="210"/>
        <v>0</v>
      </c>
      <c r="Q525" s="288"/>
      <c r="R525" s="243"/>
      <c r="S525" s="378" t="str">
        <f t="shared" si="204"/>
        <v/>
      </c>
    </row>
    <row r="526" spans="2:19" hidden="1" x14ac:dyDescent="0.2">
      <c r="B526" s="609" t="s">
        <v>188</v>
      </c>
      <c r="C526" s="746" t="s">
        <v>188</v>
      </c>
      <c r="D526" s="401"/>
      <c r="E526" s="394"/>
      <c r="F526" s="402"/>
      <c r="G526" s="396"/>
      <c r="H526" s="395"/>
      <c r="I526" s="397"/>
      <c r="J526" s="398"/>
      <c r="K526" s="403">
        <f t="shared" si="208"/>
        <v>0</v>
      </c>
      <c r="L526" s="400" t="s">
        <v>755</v>
      </c>
      <c r="M526" s="30"/>
      <c r="N526" s="30">
        <v>0</v>
      </c>
      <c r="O526" s="287">
        <f t="shared" si="211"/>
        <v>0</v>
      </c>
      <c r="P526" s="287">
        <f t="shared" si="210"/>
        <v>0</v>
      </c>
      <c r="Q526" s="288"/>
      <c r="R526" s="243"/>
      <c r="S526" s="378" t="str">
        <f t="shared" si="204"/>
        <v/>
      </c>
    </row>
    <row r="527" spans="2:19" hidden="1" x14ac:dyDescent="0.2">
      <c r="B527" s="609" t="s">
        <v>188</v>
      </c>
      <c r="C527" s="746" t="s">
        <v>188</v>
      </c>
      <c r="D527" s="401"/>
      <c r="E527" s="394"/>
      <c r="F527" s="402"/>
      <c r="G527" s="396"/>
      <c r="H527" s="395"/>
      <c r="I527" s="397"/>
      <c r="J527" s="398"/>
      <c r="K527" s="403">
        <f t="shared" si="208"/>
        <v>0</v>
      </c>
      <c r="L527" s="400" t="s">
        <v>755</v>
      </c>
      <c r="M527" s="30"/>
      <c r="N527" s="30">
        <v>0</v>
      </c>
      <c r="O527" s="287">
        <f t="shared" si="211"/>
        <v>0</v>
      </c>
      <c r="P527" s="287">
        <f t="shared" si="210"/>
        <v>0</v>
      </c>
      <c r="Q527" s="288"/>
      <c r="R527" s="243"/>
      <c r="S527" s="378" t="str">
        <f t="shared" si="204"/>
        <v/>
      </c>
    </row>
    <row r="528" spans="2:19" hidden="1" x14ac:dyDescent="0.2">
      <c r="B528" s="609" t="s">
        <v>188</v>
      </c>
      <c r="C528" s="746" t="s">
        <v>188</v>
      </c>
      <c r="D528" s="401"/>
      <c r="E528" s="394"/>
      <c r="F528" s="402"/>
      <c r="G528" s="396"/>
      <c r="H528" s="395"/>
      <c r="I528" s="397"/>
      <c r="J528" s="398"/>
      <c r="K528" s="403">
        <f t="shared" si="208"/>
        <v>0</v>
      </c>
      <c r="L528" s="400" t="s">
        <v>755</v>
      </c>
      <c r="M528" s="30"/>
      <c r="N528" s="30">
        <v>0</v>
      </c>
      <c r="O528" s="287">
        <f t="shared" si="211"/>
        <v>0</v>
      </c>
      <c r="P528" s="287">
        <f t="shared" si="210"/>
        <v>0</v>
      </c>
      <c r="Q528" s="288"/>
      <c r="R528" s="243"/>
      <c r="S528" s="378" t="str">
        <f t="shared" si="204"/>
        <v/>
      </c>
    </row>
    <row r="529" spans="2:19" hidden="1" x14ac:dyDescent="0.2">
      <c r="B529" s="609" t="s">
        <v>188</v>
      </c>
      <c r="C529" s="746" t="s">
        <v>188</v>
      </c>
      <c r="D529" s="401"/>
      <c r="E529" s="394"/>
      <c r="F529" s="402"/>
      <c r="G529" s="396"/>
      <c r="H529" s="395"/>
      <c r="I529" s="397"/>
      <c r="J529" s="398"/>
      <c r="K529" s="403">
        <f t="shared" si="208"/>
        <v>0</v>
      </c>
      <c r="L529" s="400" t="s">
        <v>755</v>
      </c>
      <c r="M529" s="30"/>
      <c r="N529" s="30">
        <v>0</v>
      </c>
      <c r="O529" s="287">
        <f t="shared" si="211"/>
        <v>0</v>
      </c>
      <c r="P529" s="287">
        <f t="shared" si="210"/>
        <v>0</v>
      </c>
      <c r="Q529" s="288"/>
      <c r="R529" s="243"/>
      <c r="S529" s="378" t="str">
        <f t="shared" si="204"/>
        <v/>
      </c>
    </row>
    <row r="530" spans="2:19" ht="13.5" hidden="1" thickBot="1" x14ac:dyDescent="0.25">
      <c r="B530" s="610" t="s">
        <v>188</v>
      </c>
      <c r="C530" s="747" t="s">
        <v>188</v>
      </c>
      <c r="D530" s="404"/>
      <c r="E530" s="405"/>
      <c r="F530" s="406"/>
      <c r="G530" s="407"/>
      <c r="H530" s="408"/>
      <c r="I530" s="409"/>
      <c r="J530" s="410"/>
      <c r="K530" s="411"/>
      <c r="L530" s="412" t="s">
        <v>755</v>
      </c>
      <c r="M530" s="30"/>
      <c r="N530" s="30"/>
      <c r="O530" s="413">
        <f t="shared" si="211"/>
        <v>0</v>
      </c>
      <c r="P530" s="413">
        <f t="shared" si="210"/>
        <v>0</v>
      </c>
      <c r="Q530" s="288"/>
      <c r="R530" s="243"/>
      <c r="S530" s="378" t="str">
        <f t="shared" si="204"/>
        <v/>
      </c>
    </row>
    <row r="531" spans="2:19" ht="13.5" hidden="1" thickBot="1" x14ac:dyDescent="0.25">
      <c r="B531" s="611" t="s">
        <v>228</v>
      </c>
      <c r="C531" s="636"/>
      <c r="D531" s="637" t="s">
        <v>810</v>
      </c>
      <c r="E531" s="635"/>
      <c r="F531" s="626"/>
      <c r="G531" s="627"/>
      <c r="H531" s="628"/>
      <c r="I531" s="605"/>
      <c r="J531" s="605"/>
      <c r="K531" s="605"/>
      <c r="L531" s="605" t="s">
        <v>755</v>
      </c>
      <c r="M531" s="375"/>
      <c r="N531" s="376"/>
      <c r="O531" s="376"/>
      <c r="P531" s="294"/>
      <c r="Q531" s="295">
        <f>SUM(P532:P727)</f>
        <v>0</v>
      </c>
      <c r="R531" s="311" t="str">
        <f>IF(Q531&gt;0,"xy","")</f>
        <v/>
      </c>
      <c r="S531" s="378" t="str">
        <f t="shared" si="204"/>
        <v/>
      </c>
    </row>
    <row r="532" spans="2:19" hidden="1" x14ac:dyDescent="0.2">
      <c r="B532" s="730" t="s">
        <v>1776</v>
      </c>
      <c r="C532" s="300" t="s">
        <v>207</v>
      </c>
      <c r="D532" s="383" t="s">
        <v>502</v>
      </c>
      <c r="E532" s="704"/>
      <c r="F532" s="661">
        <v>10</v>
      </c>
      <c r="G532" s="665">
        <f>ROUND(0.017*2.34,4)</f>
        <v>3.9800000000000002E-2</v>
      </c>
      <c r="H532" s="663">
        <f t="shared" ref="H532:H535" si="212">IF(F532&lt;=30,(1.05*F532+2.18)*G532,((1.05*30+2.18)+0.87*(F532-30))*G532)</f>
        <v>0.504664</v>
      </c>
      <c r="I532" s="380">
        <v>18.568544800000002</v>
      </c>
      <c r="J532" s="631">
        <f>IF(ISBLANK(I532),"",SUM(H532:I532))</f>
        <v>19.073208800000003</v>
      </c>
      <c r="K532" s="593">
        <f t="shared" ref="K532:K602" si="213">IF(ISBLANK(I532),0,ROUND(J532*(1+$F$10)*(1+$F$11*E532),2))</f>
        <v>24.18</v>
      </c>
      <c r="L532" s="594" t="s">
        <v>19</v>
      </c>
      <c r="M532" s="30"/>
      <c r="N532" s="30">
        <v>24.18</v>
      </c>
      <c r="O532" s="287">
        <f t="shared" ref="O532:O663" si="214">IF(ISBLANK(M532),0,ROUND(K532*M532,2))</f>
        <v>0</v>
      </c>
      <c r="P532" s="287">
        <f t="shared" ref="P532:P663" si="215">IF(ISBLANK(N532),0,ROUND(M532*N532,2))</f>
        <v>0</v>
      </c>
      <c r="Q532" s="288"/>
      <c r="R532" s="243"/>
      <c r="S532" s="378" t="str">
        <f t="shared" si="204"/>
        <v/>
      </c>
    </row>
    <row r="533" spans="2:19" hidden="1" x14ac:dyDescent="0.2">
      <c r="B533" s="730" t="s">
        <v>1777</v>
      </c>
      <c r="C533" s="300" t="s">
        <v>207</v>
      </c>
      <c r="D533" s="383" t="s">
        <v>757</v>
      </c>
      <c r="E533" s="704"/>
      <c r="F533" s="661">
        <v>10</v>
      </c>
      <c r="G533" s="665">
        <f>ROUND(0.01125*2.34,4)</f>
        <v>2.63E-2</v>
      </c>
      <c r="H533" s="663">
        <f t="shared" si="212"/>
        <v>0.333484</v>
      </c>
      <c r="I533" s="380">
        <v>12.2160896</v>
      </c>
      <c r="J533" s="631">
        <f>IF(ISBLANK(I533),"",SUM(H533:I533))</f>
        <v>12.5495736</v>
      </c>
      <c r="K533" s="593">
        <f t="shared" si="213"/>
        <v>15.91</v>
      </c>
      <c r="L533" s="594" t="s">
        <v>19</v>
      </c>
      <c r="M533" s="30"/>
      <c r="N533" s="30">
        <v>15.91</v>
      </c>
      <c r="O533" s="287">
        <f t="shared" si="214"/>
        <v>0</v>
      </c>
      <c r="P533" s="287">
        <f t="shared" si="215"/>
        <v>0</v>
      </c>
      <c r="Q533" s="288"/>
      <c r="R533" s="243"/>
      <c r="S533" s="378" t="str">
        <f t="shared" si="204"/>
        <v/>
      </c>
    </row>
    <row r="534" spans="2:19" hidden="1" x14ac:dyDescent="0.2">
      <c r="B534" s="730" t="s">
        <v>1778</v>
      </c>
      <c r="C534" s="300" t="s">
        <v>207</v>
      </c>
      <c r="D534" s="383" t="s">
        <v>504</v>
      </c>
      <c r="E534" s="704"/>
      <c r="F534" s="661">
        <v>10</v>
      </c>
      <c r="G534" s="665">
        <f>ROUND(0.014*2.34,4)</f>
        <v>3.2800000000000003E-2</v>
      </c>
      <c r="H534" s="663">
        <f t="shared" si="212"/>
        <v>0.41590400000000005</v>
      </c>
      <c r="I534" s="380">
        <v>15.202363800000001</v>
      </c>
      <c r="J534" s="631">
        <f>IF(ISBLANK(I534),"",SUM(H534:I534))</f>
        <v>15.6182678</v>
      </c>
      <c r="K534" s="593">
        <f t="shared" si="213"/>
        <v>19.8</v>
      </c>
      <c r="L534" s="594" t="s">
        <v>19</v>
      </c>
      <c r="M534" s="30"/>
      <c r="N534" s="30">
        <v>19.8</v>
      </c>
      <c r="O534" s="287">
        <f t="shared" si="214"/>
        <v>0</v>
      </c>
      <c r="P534" s="287">
        <f t="shared" si="215"/>
        <v>0</v>
      </c>
      <c r="Q534" s="288"/>
      <c r="R534" s="243"/>
      <c r="S534" s="378" t="str">
        <f t="shared" si="204"/>
        <v/>
      </c>
    </row>
    <row r="535" spans="2:19" hidden="1" x14ac:dyDescent="0.2">
      <c r="B535" s="730" t="s">
        <v>1779</v>
      </c>
      <c r="C535" s="300" t="s">
        <v>498</v>
      </c>
      <c r="D535" s="383" t="s">
        <v>505</v>
      </c>
      <c r="E535" s="704"/>
      <c r="F535" s="661">
        <v>10</v>
      </c>
      <c r="G535" s="665">
        <f>ROUND(0.012*1.8,4)</f>
        <v>2.1600000000000001E-2</v>
      </c>
      <c r="H535" s="663">
        <f t="shared" si="212"/>
        <v>0.27388800000000002</v>
      </c>
      <c r="I535" s="380">
        <v>41.73</v>
      </c>
      <c r="J535" s="631">
        <f>IF(ISBLANK(I535),"",SUM(H535:I535))</f>
        <v>42.003887999999996</v>
      </c>
      <c r="K535" s="593">
        <f t="shared" si="213"/>
        <v>53.24</v>
      </c>
      <c r="L535" s="594" t="s">
        <v>19</v>
      </c>
      <c r="M535" s="30"/>
      <c r="N535" s="30">
        <v>53.24</v>
      </c>
      <c r="O535" s="287">
        <f t="shared" si="214"/>
        <v>0</v>
      </c>
      <c r="P535" s="287">
        <f t="shared" si="215"/>
        <v>0</v>
      </c>
      <c r="Q535" s="288"/>
      <c r="R535" s="243"/>
      <c r="S535" s="378" t="str">
        <f t="shared" si="204"/>
        <v/>
      </c>
    </row>
    <row r="536" spans="2:19" hidden="1" x14ac:dyDescent="0.2">
      <c r="B536" s="730" t="s">
        <v>2019</v>
      </c>
      <c r="C536" s="300" t="s">
        <v>207</v>
      </c>
      <c r="D536" s="383" t="s">
        <v>274</v>
      </c>
      <c r="E536" s="704"/>
      <c r="F536" s="661">
        <v>0</v>
      </c>
      <c r="G536" s="665"/>
      <c r="H536" s="664">
        <v>0</v>
      </c>
      <c r="I536" s="380">
        <v>137.65</v>
      </c>
      <c r="J536" s="631">
        <f t="shared" ref="J536:J537" si="216">IF(ISBLANK(I536),"",SUM(H536:I536))</f>
        <v>137.65</v>
      </c>
      <c r="K536" s="593">
        <f t="shared" si="213"/>
        <v>174.47</v>
      </c>
      <c r="L536" s="594" t="s">
        <v>16</v>
      </c>
      <c r="M536" s="30"/>
      <c r="N536" s="30">
        <v>174.47</v>
      </c>
      <c r="O536" s="287">
        <f t="shared" si="214"/>
        <v>0</v>
      </c>
      <c r="P536" s="287">
        <f t="shared" si="215"/>
        <v>0</v>
      </c>
      <c r="Q536" s="288"/>
      <c r="R536" s="243"/>
      <c r="S536" s="378" t="str">
        <f t="shared" si="204"/>
        <v/>
      </c>
    </row>
    <row r="537" spans="2:19" hidden="1" x14ac:dyDescent="0.2">
      <c r="B537" s="730" t="s">
        <v>2020</v>
      </c>
      <c r="C537" s="300" t="s">
        <v>207</v>
      </c>
      <c r="D537" s="383" t="s">
        <v>1007</v>
      </c>
      <c r="E537" s="704"/>
      <c r="F537" s="661">
        <v>0</v>
      </c>
      <c r="G537" s="665"/>
      <c r="H537" s="664">
        <v>0</v>
      </c>
      <c r="I537" s="380">
        <v>287.76000000000005</v>
      </c>
      <c r="J537" s="631">
        <f t="shared" si="216"/>
        <v>287.76000000000005</v>
      </c>
      <c r="K537" s="593">
        <f t="shared" si="213"/>
        <v>364.74</v>
      </c>
      <c r="L537" s="594" t="s">
        <v>16</v>
      </c>
      <c r="M537" s="30"/>
      <c r="N537" s="30">
        <v>364.74</v>
      </c>
      <c r="O537" s="287">
        <f t="shared" si="214"/>
        <v>0</v>
      </c>
      <c r="P537" s="287">
        <f t="shared" si="215"/>
        <v>0</v>
      </c>
      <c r="Q537" s="288"/>
      <c r="R537" s="243"/>
      <c r="S537" s="378" t="str">
        <f t="shared" si="204"/>
        <v/>
      </c>
    </row>
    <row r="538" spans="2:19" hidden="1" x14ac:dyDescent="0.2">
      <c r="B538" s="730" t="s">
        <v>2021</v>
      </c>
      <c r="C538" s="300" t="s">
        <v>817</v>
      </c>
      <c r="D538" s="383" t="s">
        <v>206</v>
      </c>
      <c r="E538" s="704"/>
      <c r="F538" s="671">
        <v>0</v>
      </c>
      <c r="G538" s="665"/>
      <c r="H538" s="664">
        <v>0</v>
      </c>
      <c r="I538" s="380">
        <v>2.29</v>
      </c>
      <c r="J538" s="631">
        <f>IF(ISBLANK(I538),"",SUM(H538:I538))</f>
        <v>2.29</v>
      </c>
      <c r="K538" s="593">
        <f t="shared" si="213"/>
        <v>2.9</v>
      </c>
      <c r="L538" s="594" t="s">
        <v>18</v>
      </c>
      <c r="M538" s="30"/>
      <c r="N538" s="30">
        <v>2.9</v>
      </c>
      <c r="O538" s="287">
        <f t="shared" si="214"/>
        <v>0</v>
      </c>
      <c r="P538" s="287">
        <f t="shared" si="215"/>
        <v>0</v>
      </c>
      <c r="Q538" s="288"/>
      <c r="R538" s="243"/>
      <c r="S538" s="378" t="str">
        <f t="shared" si="204"/>
        <v/>
      </c>
    </row>
    <row r="539" spans="2:19" hidden="1" x14ac:dyDescent="0.2">
      <c r="B539" s="730" t="s">
        <v>2022</v>
      </c>
      <c r="C539" s="300" t="s">
        <v>207</v>
      </c>
      <c r="D539" s="417" t="s">
        <v>342</v>
      </c>
      <c r="E539" s="704"/>
      <c r="F539" s="661">
        <v>20</v>
      </c>
      <c r="G539" s="665">
        <v>1.7250000000000001</v>
      </c>
      <c r="H539" s="663">
        <f t="shared" ref="H539:H540" si="217">IF(F539&lt;=30,(1.05*F539+2.18)*G539,((1.05*30+2.18)+0.87*(F539-30))*G539)</f>
        <v>39.985500000000002</v>
      </c>
      <c r="I539" s="380">
        <v>88.07</v>
      </c>
      <c r="J539" s="631">
        <f t="shared" ref="J539:J540" si="218">IF(ISBLANK(I539),"",SUM(H539:I539))</f>
        <v>128.05549999999999</v>
      </c>
      <c r="K539" s="593">
        <f t="shared" ref="K539:K540" si="219">IF(ISBLANK(I539),0,ROUND(J539*(1+$F$10)*(1+$F$11*E539),2))</f>
        <v>162.31</v>
      </c>
      <c r="L539" s="594" t="s">
        <v>16</v>
      </c>
      <c r="M539" s="30"/>
      <c r="N539" s="30">
        <v>162.31</v>
      </c>
      <c r="O539" s="287">
        <f t="shared" si="214"/>
        <v>0</v>
      </c>
      <c r="P539" s="287">
        <f t="shared" si="215"/>
        <v>0</v>
      </c>
      <c r="Q539" s="288"/>
      <c r="R539" s="243"/>
      <c r="S539" s="378" t="str">
        <f t="shared" ref="S539:S540" si="220">IF(R539="x","x",IF(R539="y","x",IF(R539="xy","x",IF(P539&gt;0,"x",""))))</f>
        <v/>
      </c>
    </row>
    <row r="540" spans="2:19" hidden="1" x14ac:dyDescent="0.2">
      <c r="B540" s="730" t="s">
        <v>2023</v>
      </c>
      <c r="C540" s="300" t="s">
        <v>207</v>
      </c>
      <c r="D540" s="417" t="s">
        <v>343</v>
      </c>
      <c r="E540" s="704"/>
      <c r="F540" s="661">
        <v>20</v>
      </c>
      <c r="G540" s="665">
        <v>1.5</v>
      </c>
      <c r="H540" s="663">
        <f t="shared" si="217"/>
        <v>34.769999999999996</v>
      </c>
      <c r="I540" s="380">
        <v>115.86</v>
      </c>
      <c r="J540" s="631">
        <f t="shared" si="218"/>
        <v>150.63</v>
      </c>
      <c r="K540" s="593">
        <f t="shared" si="219"/>
        <v>190.92</v>
      </c>
      <c r="L540" s="594" t="s">
        <v>16</v>
      </c>
      <c r="M540" s="30"/>
      <c r="N540" s="30">
        <v>190.92</v>
      </c>
      <c r="O540" s="287">
        <f t="shared" si="214"/>
        <v>0</v>
      </c>
      <c r="P540" s="287">
        <f t="shared" si="215"/>
        <v>0</v>
      </c>
      <c r="Q540" s="288"/>
      <c r="R540" s="243"/>
      <c r="S540" s="378" t="str">
        <f t="shared" si="220"/>
        <v/>
      </c>
    </row>
    <row r="541" spans="2:19" hidden="1" x14ac:dyDescent="0.2">
      <c r="B541" s="730" t="s">
        <v>2024</v>
      </c>
      <c r="C541" s="300" t="s">
        <v>207</v>
      </c>
      <c r="D541" s="383" t="s">
        <v>275</v>
      </c>
      <c r="E541" s="704"/>
      <c r="F541" s="661"/>
      <c r="G541" s="665"/>
      <c r="H541" s="664">
        <f>SUM(H542:H544)</f>
        <v>257.39480000000003</v>
      </c>
      <c r="I541" s="380">
        <v>387.28999999999996</v>
      </c>
      <c r="J541" s="631">
        <f t="shared" ref="J541" si="221">IF(ISBLANK(I541),"",SUM(H541:I541))</f>
        <v>644.6848</v>
      </c>
      <c r="K541" s="593">
        <f t="shared" si="213"/>
        <v>817.14</v>
      </c>
      <c r="L541" s="594" t="s">
        <v>16</v>
      </c>
      <c r="M541" s="30"/>
      <c r="N541" s="30">
        <v>817.14</v>
      </c>
      <c r="O541" s="287">
        <f t="shared" si="214"/>
        <v>0</v>
      </c>
      <c r="P541" s="287">
        <f t="shared" si="215"/>
        <v>0</v>
      </c>
      <c r="Q541" s="288"/>
      <c r="R541" s="243"/>
      <c r="S541" s="378" t="str">
        <f t="shared" si="204"/>
        <v/>
      </c>
    </row>
    <row r="542" spans="2:19" hidden="1" x14ac:dyDescent="0.2">
      <c r="B542" s="730" t="s">
        <v>168</v>
      </c>
      <c r="C542" s="300"/>
      <c r="D542" s="417" t="s">
        <v>213</v>
      </c>
      <c r="E542" s="777"/>
      <c r="F542" s="661">
        <v>500</v>
      </c>
      <c r="G542" s="665">
        <v>0.18</v>
      </c>
      <c r="H542" s="664">
        <f>IF(F542&lt;=30,(0.75*F542+6.29)*G542,((0.75*30+6.29)+0.62*(F542-30))*G542)</f>
        <v>57.6342</v>
      </c>
      <c r="I542" s="380">
        <v>0</v>
      </c>
      <c r="J542" s="631"/>
      <c r="K542" s="593">
        <f t="shared" si="213"/>
        <v>0</v>
      </c>
      <c r="L542" s="651" t="s">
        <v>755</v>
      </c>
      <c r="M542" s="418"/>
      <c r="N542" s="419">
        <v>0</v>
      </c>
      <c r="O542" s="287">
        <f t="shared" si="214"/>
        <v>0</v>
      </c>
      <c r="P542" s="287">
        <f t="shared" si="215"/>
        <v>0</v>
      </c>
      <c r="Q542" s="288"/>
      <c r="R542" s="311" t="str">
        <f>IF(P541&gt;0,"xy","")</f>
        <v/>
      </c>
      <c r="S542" s="378" t="str">
        <f t="shared" si="204"/>
        <v/>
      </c>
    </row>
    <row r="543" spans="2:19" hidden="1" x14ac:dyDescent="0.2">
      <c r="B543" s="730" t="s">
        <v>168</v>
      </c>
      <c r="C543" s="300"/>
      <c r="D543" s="417" t="s">
        <v>249</v>
      </c>
      <c r="E543" s="777"/>
      <c r="F543" s="661">
        <v>180</v>
      </c>
      <c r="G543" s="665">
        <v>1.06</v>
      </c>
      <c r="H543" s="663">
        <f t="shared" ref="H543:H548" si="222">IF(F543&lt;=30,(1.05*F543+2.18)*G543,((1.05*30+2.18)+0.87*(F543-30))*G543)</f>
        <v>174.03080000000003</v>
      </c>
      <c r="I543" s="380">
        <v>0</v>
      </c>
      <c r="J543" s="631"/>
      <c r="K543" s="593">
        <f t="shared" si="213"/>
        <v>0</v>
      </c>
      <c r="L543" s="651" t="s">
        <v>755</v>
      </c>
      <c r="M543" s="418"/>
      <c r="N543" s="419">
        <v>0</v>
      </c>
      <c r="O543" s="287">
        <f t="shared" si="214"/>
        <v>0</v>
      </c>
      <c r="P543" s="287">
        <f t="shared" si="215"/>
        <v>0</v>
      </c>
      <c r="Q543" s="288"/>
      <c r="R543" s="311" t="str">
        <f>IF(P541&gt;0,"xy","")</f>
        <v/>
      </c>
      <c r="S543" s="378" t="str">
        <f t="shared" si="204"/>
        <v/>
      </c>
    </row>
    <row r="544" spans="2:19" hidden="1" x14ac:dyDescent="0.2">
      <c r="B544" s="730" t="s">
        <v>168</v>
      </c>
      <c r="C544" s="300"/>
      <c r="D544" s="417" t="s">
        <v>253</v>
      </c>
      <c r="E544" s="777"/>
      <c r="F544" s="661">
        <v>20</v>
      </c>
      <c r="G544" s="665">
        <v>1.1100000000000001</v>
      </c>
      <c r="H544" s="663">
        <f t="shared" si="222"/>
        <v>25.729800000000001</v>
      </c>
      <c r="I544" s="380">
        <v>0</v>
      </c>
      <c r="J544" s="631"/>
      <c r="K544" s="593">
        <f t="shared" si="213"/>
        <v>0</v>
      </c>
      <c r="L544" s="651" t="s">
        <v>755</v>
      </c>
      <c r="M544" s="418"/>
      <c r="N544" s="419">
        <v>0</v>
      </c>
      <c r="O544" s="287">
        <f t="shared" si="214"/>
        <v>0</v>
      </c>
      <c r="P544" s="287">
        <f t="shared" si="215"/>
        <v>0</v>
      </c>
      <c r="Q544" s="288"/>
      <c r="R544" s="311" t="str">
        <f>IF(P541&gt;0,"xy","")</f>
        <v/>
      </c>
      <c r="S544" s="378" t="str">
        <f t="shared" si="204"/>
        <v/>
      </c>
    </row>
    <row r="545" spans="2:19" hidden="1" x14ac:dyDescent="0.2">
      <c r="B545" s="730" t="s">
        <v>1804</v>
      </c>
      <c r="C545" s="300" t="s">
        <v>207</v>
      </c>
      <c r="D545" s="383" t="s">
        <v>1800</v>
      </c>
      <c r="E545" s="704"/>
      <c r="F545" s="661">
        <v>20</v>
      </c>
      <c r="G545" s="665">
        <v>1.73</v>
      </c>
      <c r="H545" s="663">
        <f t="shared" si="222"/>
        <v>40.101399999999998</v>
      </c>
      <c r="I545" s="380">
        <v>70.86999999999999</v>
      </c>
      <c r="J545" s="631">
        <f t="shared" ref="J545:J552" si="223">IF(ISBLANK(I545),"",SUM(H545:I545))</f>
        <v>110.97139999999999</v>
      </c>
      <c r="K545" s="593">
        <f t="shared" si="213"/>
        <v>140.66</v>
      </c>
      <c r="L545" s="594" t="s">
        <v>16</v>
      </c>
      <c r="M545" s="30"/>
      <c r="N545" s="30">
        <v>140.66</v>
      </c>
      <c r="O545" s="287">
        <f t="shared" si="214"/>
        <v>0</v>
      </c>
      <c r="P545" s="287">
        <f t="shared" si="215"/>
        <v>0</v>
      </c>
      <c r="Q545" s="288"/>
      <c r="R545" s="243"/>
      <c r="S545" s="378" t="str">
        <f t="shared" si="204"/>
        <v/>
      </c>
    </row>
    <row r="546" spans="2:19" hidden="1" x14ac:dyDescent="0.2">
      <c r="B546" s="730" t="s">
        <v>1797</v>
      </c>
      <c r="C546" s="300" t="s">
        <v>207</v>
      </c>
      <c r="D546" s="383" t="s">
        <v>1801</v>
      </c>
      <c r="E546" s="704"/>
      <c r="F546" s="661">
        <v>20</v>
      </c>
      <c r="G546" s="665">
        <v>1.7250000000000001</v>
      </c>
      <c r="H546" s="663">
        <f t="shared" si="222"/>
        <v>39.985500000000002</v>
      </c>
      <c r="I546" s="380">
        <v>88.07</v>
      </c>
      <c r="J546" s="631">
        <f t="shared" ref="J546:J547" si="224">IF(ISBLANK(I546),"",SUM(H546:I546))</f>
        <v>128.05549999999999</v>
      </c>
      <c r="K546" s="593">
        <f t="shared" ref="K546:K547" si="225">IF(ISBLANK(I546),0,ROUND(J546*(1+$F$10)*(1+$F$11*E546),2))</f>
        <v>162.31</v>
      </c>
      <c r="L546" s="594" t="s">
        <v>16</v>
      </c>
      <c r="M546" s="30"/>
      <c r="N546" s="30">
        <v>162.31</v>
      </c>
      <c r="O546" s="287">
        <f t="shared" si="214"/>
        <v>0</v>
      </c>
      <c r="P546" s="287">
        <f t="shared" si="215"/>
        <v>0</v>
      </c>
      <c r="Q546" s="288"/>
      <c r="R546" s="243"/>
      <c r="S546" s="378" t="str">
        <f t="shared" ref="S546:S547" si="226">IF(R546="x","x",IF(R546="y","x",IF(R546="xy","x",IF(P546&gt;0,"x",""))))</f>
        <v/>
      </c>
    </row>
    <row r="547" spans="2:19" hidden="1" x14ac:dyDescent="0.2">
      <c r="B547" s="730" t="s">
        <v>1728</v>
      </c>
      <c r="C547" s="300" t="s">
        <v>207</v>
      </c>
      <c r="D547" s="383" t="s">
        <v>1802</v>
      </c>
      <c r="E547" s="704"/>
      <c r="F547" s="671">
        <v>15</v>
      </c>
      <c r="G547" s="665">
        <f>ROUND(1.5*1.5,4)</f>
        <v>2.25</v>
      </c>
      <c r="H547" s="663">
        <f t="shared" si="222"/>
        <v>40.342500000000001</v>
      </c>
      <c r="I547" s="380">
        <v>14.866666666666667</v>
      </c>
      <c r="J547" s="631">
        <f t="shared" si="224"/>
        <v>55.209166666666668</v>
      </c>
      <c r="K547" s="593">
        <f t="shared" si="225"/>
        <v>69.98</v>
      </c>
      <c r="L547" s="594" t="s">
        <v>16</v>
      </c>
      <c r="M547" s="30"/>
      <c r="N547" s="30">
        <v>69.98</v>
      </c>
      <c r="O547" s="287">
        <f t="shared" si="214"/>
        <v>0</v>
      </c>
      <c r="P547" s="287">
        <f t="shared" si="215"/>
        <v>0</v>
      </c>
      <c r="Q547" s="288"/>
      <c r="R547" s="243"/>
      <c r="S547" s="378" t="str">
        <f t="shared" si="226"/>
        <v/>
      </c>
    </row>
    <row r="548" spans="2:19" hidden="1" x14ac:dyDescent="0.2">
      <c r="B548" s="730" t="s">
        <v>1805</v>
      </c>
      <c r="C548" s="300" t="s">
        <v>207</v>
      </c>
      <c r="D548" s="383" t="s">
        <v>1803</v>
      </c>
      <c r="E548" s="704"/>
      <c r="F548" s="661">
        <v>20</v>
      </c>
      <c r="G548" s="665">
        <v>1.5</v>
      </c>
      <c r="H548" s="663">
        <f t="shared" si="222"/>
        <v>34.769999999999996</v>
      </c>
      <c r="I548" s="380">
        <v>115.86</v>
      </c>
      <c r="J548" s="631">
        <f t="shared" si="223"/>
        <v>150.63</v>
      </c>
      <c r="K548" s="593">
        <f t="shared" si="213"/>
        <v>190.92</v>
      </c>
      <c r="L548" s="594" t="s">
        <v>16</v>
      </c>
      <c r="M548" s="30"/>
      <c r="N548" s="30">
        <v>190.92</v>
      </c>
      <c r="O548" s="287">
        <f t="shared" si="214"/>
        <v>0</v>
      </c>
      <c r="P548" s="287">
        <f t="shared" si="215"/>
        <v>0</v>
      </c>
      <c r="Q548" s="288"/>
      <c r="R548" s="243"/>
      <c r="S548" s="378" t="str">
        <f t="shared" si="204"/>
        <v/>
      </c>
    </row>
    <row r="549" spans="2:19" hidden="1" x14ac:dyDescent="0.2">
      <c r="B549" s="730" t="s">
        <v>1818</v>
      </c>
      <c r="C549" s="300" t="s">
        <v>207</v>
      </c>
      <c r="D549" s="383" t="s">
        <v>276</v>
      </c>
      <c r="E549" s="704"/>
      <c r="F549" s="661"/>
      <c r="G549" s="665"/>
      <c r="H549" s="664">
        <f>IF(F549&lt;=30,(0.31*F549+0.77)*G549,((0.31*30+0.77)+0.31*(F549-30))*G549)</f>
        <v>0</v>
      </c>
      <c r="I549" s="380">
        <v>50.31</v>
      </c>
      <c r="J549" s="631">
        <f t="shared" si="223"/>
        <v>50.31</v>
      </c>
      <c r="K549" s="593">
        <f t="shared" si="213"/>
        <v>63.77</v>
      </c>
      <c r="L549" s="594" t="s">
        <v>16</v>
      </c>
      <c r="M549" s="30"/>
      <c r="N549" s="30">
        <v>63.77</v>
      </c>
      <c r="O549" s="287">
        <f t="shared" si="214"/>
        <v>0</v>
      </c>
      <c r="P549" s="287">
        <f t="shared" si="215"/>
        <v>0</v>
      </c>
      <c r="Q549" s="288"/>
      <c r="R549" s="243"/>
      <c r="S549" s="378" t="str">
        <f t="shared" si="204"/>
        <v/>
      </c>
    </row>
    <row r="550" spans="2:19" hidden="1" x14ac:dyDescent="0.2">
      <c r="B550" s="730" t="s">
        <v>1820</v>
      </c>
      <c r="C550" s="300" t="s">
        <v>207</v>
      </c>
      <c r="D550" s="383" t="s">
        <v>277</v>
      </c>
      <c r="E550" s="704"/>
      <c r="F550" s="661"/>
      <c r="G550" s="665"/>
      <c r="H550" s="664">
        <f>IF(F550&lt;=30,(0.31*F550+0.77)*G550,((0.31*30+0.77)+0.31*(F550-30))*G550)</f>
        <v>0</v>
      </c>
      <c r="I550" s="380">
        <v>113.57</v>
      </c>
      <c r="J550" s="631">
        <f t="shared" si="223"/>
        <v>113.57</v>
      </c>
      <c r="K550" s="593">
        <f t="shared" si="213"/>
        <v>143.94999999999999</v>
      </c>
      <c r="L550" s="594" t="s">
        <v>18</v>
      </c>
      <c r="M550" s="30"/>
      <c r="N550" s="30">
        <v>143.94999999999999</v>
      </c>
      <c r="O550" s="287">
        <f t="shared" si="214"/>
        <v>0</v>
      </c>
      <c r="P550" s="287">
        <f t="shared" si="215"/>
        <v>0</v>
      </c>
      <c r="Q550" s="288"/>
      <c r="R550" s="243"/>
      <c r="S550" s="378" t="str">
        <f t="shared" si="204"/>
        <v/>
      </c>
    </row>
    <row r="551" spans="2:19" hidden="1" x14ac:dyDescent="0.2">
      <c r="B551" s="730" t="s">
        <v>2025</v>
      </c>
      <c r="C551" s="300" t="s">
        <v>207</v>
      </c>
      <c r="D551" s="383" t="s">
        <v>278</v>
      </c>
      <c r="E551" s="704"/>
      <c r="F551" s="661"/>
      <c r="G551" s="665"/>
      <c r="H551" s="664">
        <f>IF(F551&lt;=30,(0.31*F551+0.77)*G551,((0.31*30+0.77)+0.31*(F551-30))*G551)</f>
        <v>0</v>
      </c>
      <c r="I551" s="380">
        <v>17.82</v>
      </c>
      <c r="J551" s="631">
        <f t="shared" si="223"/>
        <v>17.82</v>
      </c>
      <c r="K551" s="593">
        <f t="shared" si="213"/>
        <v>22.59</v>
      </c>
      <c r="L551" s="594" t="s">
        <v>23</v>
      </c>
      <c r="M551" s="30"/>
      <c r="N551" s="30">
        <v>22.59</v>
      </c>
      <c r="O551" s="287">
        <f t="shared" si="214"/>
        <v>0</v>
      </c>
      <c r="P551" s="287">
        <f t="shared" si="215"/>
        <v>0</v>
      </c>
      <c r="Q551" s="288"/>
      <c r="R551" s="243"/>
      <c r="S551" s="378" t="str">
        <f t="shared" si="204"/>
        <v/>
      </c>
    </row>
    <row r="552" spans="2:19" hidden="1" x14ac:dyDescent="0.2">
      <c r="B552" s="730" t="s">
        <v>2026</v>
      </c>
      <c r="C552" s="300" t="s">
        <v>207</v>
      </c>
      <c r="D552" s="383" t="s">
        <v>279</v>
      </c>
      <c r="E552" s="704"/>
      <c r="F552" s="661"/>
      <c r="G552" s="665"/>
      <c r="H552" s="664">
        <f>IF(F552&lt;=30,(0.31*F552+0.77)*G552,((0.31*30+0.77)+0.31*(F552-30))*G552)</f>
        <v>0</v>
      </c>
      <c r="I552" s="380">
        <v>19.93</v>
      </c>
      <c r="J552" s="631">
        <f t="shared" si="223"/>
        <v>19.93</v>
      </c>
      <c r="K552" s="593">
        <f t="shared" si="213"/>
        <v>25.26</v>
      </c>
      <c r="L552" s="594" t="s">
        <v>23</v>
      </c>
      <c r="M552" s="30"/>
      <c r="N552" s="30">
        <v>25.26</v>
      </c>
      <c r="O552" s="287">
        <f t="shared" si="214"/>
        <v>0</v>
      </c>
      <c r="P552" s="287">
        <f t="shared" si="215"/>
        <v>0</v>
      </c>
      <c r="Q552" s="288"/>
      <c r="R552" s="243"/>
      <c r="S552" s="378" t="str">
        <f t="shared" si="204"/>
        <v/>
      </c>
    </row>
    <row r="553" spans="2:19" hidden="1" x14ac:dyDescent="0.2">
      <c r="B553" s="730" t="s">
        <v>2027</v>
      </c>
      <c r="C553" s="300" t="s">
        <v>207</v>
      </c>
      <c r="D553" s="383" t="s">
        <v>280</v>
      </c>
      <c r="E553" s="704"/>
      <c r="F553" s="661"/>
      <c r="G553" s="665"/>
      <c r="H553" s="664">
        <f>SUM(H554:H556)*0.05</f>
        <v>0.67448475000000008</v>
      </c>
      <c r="I553" s="380">
        <v>27.332999999999998</v>
      </c>
      <c r="J553" s="631">
        <f t="shared" ref="J553:J556" si="227">IF(ISBLANK(I553),"",SUM(H553:I553))</f>
        <v>28.00748475</v>
      </c>
      <c r="K553" s="593">
        <f t="shared" si="213"/>
        <v>35.5</v>
      </c>
      <c r="L553" s="594" t="s">
        <v>18</v>
      </c>
      <c r="M553" s="30"/>
      <c r="N553" s="30">
        <v>35.5</v>
      </c>
      <c r="O553" s="287">
        <f t="shared" si="214"/>
        <v>0</v>
      </c>
      <c r="P553" s="287">
        <f t="shared" si="215"/>
        <v>0</v>
      </c>
      <c r="Q553" s="288"/>
      <c r="R553" s="243"/>
      <c r="S553" s="378" t="str">
        <f t="shared" si="204"/>
        <v/>
      </c>
    </row>
    <row r="554" spans="2:19" hidden="1" x14ac:dyDescent="0.2">
      <c r="B554" s="730" t="s">
        <v>168</v>
      </c>
      <c r="C554" s="300"/>
      <c r="D554" s="417" t="s">
        <v>213</v>
      </c>
      <c r="E554" s="704"/>
      <c r="F554" s="661">
        <v>500</v>
      </c>
      <c r="G554" s="665">
        <f>ROUND(0.27*0.05,4)</f>
        <v>1.35E-2</v>
      </c>
      <c r="H554" s="664">
        <f>IF(F554&lt;=30,(0.75*F554+6.29)*G554,((0.75*30+6.29)+0.62*(F554-30))*G554)</f>
        <v>4.322565</v>
      </c>
      <c r="I554" s="380"/>
      <c r="J554" s="631" t="str">
        <f t="shared" si="227"/>
        <v/>
      </c>
      <c r="K554" s="593">
        <f t="shared" si="213"/>
        <v>0</v>
      </c>
      <c r="L554" s="651" t="s">
        <v>755</v>
      </c>
      <c r="M554" s="418"/>
      <c r="N554" s="419">
        <v>0</v>
      </c>
      <c r="O554" s="287">
        <f t="shared" si="214"/>
        <v>0</v>
      </c>
      <c r="P554" s="287">
        <f t="shared" si="215"/>
        <v>0</v>
      </c>
      <c r="Q554" s="288"/>
      <c r="R554" s="311" t="str">
        <f>IF(P553&gt;0,"xy","")</f>
        <v/>
      </c>
      <c r="S554" s="378" t="str">
        <f t="shared" si="204"/>
        <v/>
      </c>
    </row>
    <row r="555" spans="2:19" hidden="1" x14ac:dyDescent="0.2">
      <c r="B555" s="730" t="s">
        <v>168</v>
      </c>
      <c r="C555" s="300"/>
      <c r="D555" s="417" t="s">
        <v>249</v>
      </c>
      <c r="E555" s="704"/>
      <c r="F555" s="661">
        <v>180</v>
      </c>
      <c r="G555" s="665">
        <f>ROUND(0.96*0.05,4)</f>
        <v>4.8000000000000001E-2</v>
      </c>
      <c r="H555" s="663">
        <f t="shared" ref="H555:H556" si="228">IF(F555&lt;=30,(1.05*F555+2.18)*G555,((1.05*30+2.18)+0.87*(F555-30))*G555)</f>
        <v>7.8806400000000005</v>
      </c>
      <c r="I555" s="380"/>
      <c r="J555" s="631" t="str">
        <f t="shared" si="227"/>
        <v/>
      </c>
      <c r="K555" s="593">
        <f t="shared" si="213"/>
        <v>0</v>
      </c>
      <c r="L555" s="651" t="s">
        <v>755</v>
      </c>
      <c r="M555" s="418"/>
      <c r="N555" s="419">
        <v>0</v>
      </c>
      <c r="O555" s="287">
        <f t="shared" si="214"/>
        <v>0</v>
      </c>
      <c r="P555" s="287">
        <f t="shared" si="215"/>
        <v>0</v>
      </c>
      <c r="Q555" s="288"/>
      <c r="R555" s="311" t="str">
        <f>IF(P553&gt;0,"xy","")</f>
        <v/>
      </c>
      <c r="S555" s="378" t="str">
        <f t="shared" si="204"/>
        <v/>
      </c>
    </row>
    <row r="556" spans="2:19" hidden="1" x14ac:dyDescent="0.2">
      <c r="B556" s="730" t="s">
        <v>168</v>
      </c>
      <c r="C556" s="300"/>
      <c r="D556" s="417" t="s">
        <v>253</v>
      </c>
      <c r="E556" s="704"/>
      <c r="F556" s="661">
        <v>20</v>
      </c>
      <c r="G556" s="665">
        <f>ROUND(1.11*0.05,4)</f>
        <v>5.5500000000000001E-2</v>
      </c>
      <c r="H556" s="663">
        <f t="shared" si="228"/>
        <v>1.2864899999999999</v>
      </c>
      <c r="I556" s="380"/>
      <c r="J556" s="631" t="str">
        <f t="shared" si="227"/>
        <v/>
      </c>
      <c r="K556" s="593">
        <f t="shared" si="213"/>
        <v>0</v>
      </c>
      <c r="L556" s="651" t="s">
        <v>755</v>
      </c>
      <c r="M556" s="418"/>
      <c r="N556" s="419">
        <v>0</v>
      </c>
      <c r="O556" s="287">
        <f t="shared" si="214"/>
        <v>0</v>
      </c>
      <c r="P556" s="287">
        <f t="shared" si="215"/>
        <v>0</v>
      </c>
      <c r="Q556" s="288"/>
      <c r="R556" s="311" t="str">
        <f>IF(P553&gt;0,"xy","")</f>
        <v/>
      </c>
      <c r="S556" s="378" t="str">
        <f t="shared" si="204"/>
        <v/>
      </c>
    </row>
    <row r="557" spans="2:19" hidden="1" x14ac:dyDescent="0.2">
      <c r="B557" s="730" t="s">
        <v>2028</v>
      </c>
      <c r="C557" s="300" t="s">
        <v>207</v>
      </c>
      <c r="D557" s="383" t="s">
        <v>763</v>
      </c>
      <c r="E557" s="704"/>
      <c r="F557" s="661"/>
      <c r="G557" s="665"/>
      <c r="H557" s="664">
        <f>SUM(H558:H560)*0.06</f>
        <v>0.97125803999999993</v>
      </c>
      <c r="I557" s="380">
        <v>32.3416</v>
      </c>
      <c r="J557" s="631">
        <f t="shared" ref="J557:J565" si="229">IF(ISBLANK(I557),"",SUM(H557:I557))</f>
        <v>33.312858040000002</v>
      </c>
      <c r="K557" s="593">
        <f t="shared" si="213"/>
        <v>42.22</v>
      </c>
      <c r="L557" s="594" t="s">
        <v>18</v>
      </c>
      <c r="M557" s="30"/>
      <c r="N557" s="30">
        <v>42.22</v>
      </c>
      <c r="O557" s="287">
        <f t="shared" si="214"/>
        <v>0</v>
      </c>
      <c r="P557" s="287">
        <f t="shared" si="215"/>
        <v>0</v>
      </c>
      <c r="Q557" s="288"/>
      <c r="R557" s="243"/>
      <c r="S557" s="378" t="str">
        <f t="shared" si="204"/>
        <v/>
      </c>
    </row>
    <row r="558" spans="2:19" hidden="1" x14ac:dyDescent="0.2">
      <c r="B558" s="730" t="s">
        <v>168</v>
      </c>
      <c r="C558" s="300"/>
      <c r="D558" s="417" t="s">
        <v>213</v>
      </c>
      <c r="E558" s="704"/>
      <c r="F558" s="661">
        <v>500</v>
      </c>
      <c r="G558" s="665">
        <f>ROUND(0.27*0.06,4)</f>
        <v>1.6199999999999999E-2</v>
      </c>
      <c r="H558" s="664">
        <f>IF(F558&lt;=30,(0.75*F558+6.29)*G558,((0.75*30+6.29)+0.62*(F558-30))*G558)</f>
        <v>5.1870779999999996</v>
      </c>
      <c r="I558" s="380"/>
      <c r="J558" s="631" t="str">
        <f t="shared" si="229"/>
        <v/>
      </c>
      <c r="K558" s="593">
        <f t="shared" si="213"/>
        <v>0</v>
      </c>
      <c r="L558" s="651" t="s">
        <v>755</v>
      </c>
      <c r="M558" s="418"/>
      <c r="N558" s="419">
        <v>0</v>
      </c>
      <c r="O558" s="287">
        <f t="shared" si="214"/>
        <v>0</v>
      </c>
      <c r="P558" s="287">
        <f t="shared" si="215"/>
        <v>0</v>
      </c>
      <c r="Q558" s="288"/>
      <c r="R558" s="311" t="str">
        <f>IF(P557&gt;0,"xy","")</f>
        <v/>
      </c>
      <c r="S558" s="378" t="str">
        <f t="shared" si="204"/>
        <v/>
      </c>
    </row>
    <row r="559" spans="2:19" hidden="1" x14ac:dyDescent="0.2">
      <c r="B559" s="730" t="s">
        <v>168</v>
      </c>
      <c r="C559" s="300"/>
      <c r="D559" s="417" t="s">
        <v>249</v>
      </c>
      <c r="E559" s="704"/>
      <c r="F559" s="661">
        <v>180</v>
      </c>
      <c r="G559" s="665">
        <f>ROUND(0.96*0.06,4)</f>
        <v>5.7599999999999998E-2</v>
      </c>
      <c r="H559" s="663">
        <f t="shared" ref="H559:H560" si="230">IF(F559&lt;=30,(1.05*F559+2.18)*G559,((1.05*30+2.18)+0.87*(F559-30))*G559)</f>
        <v>9.4567680000000003</v>
      </c>
      <c r="I559" s="380"/>
      <c r="J559" s="631" t="str">
        <f t="shared" si="229"/>
        <v/>
      </c>
      <c r="K559" s="593">
        <f t="shared" si="213"/>
        <v>0</v>
      </c>
      <c r="L559" s="651" t="s">
        <v>755</v>
      </c>
      <c r="M559" s="418"/>
      <c r="N559" s="419">
        <v>0</v>
      </c>
      <c r="O559" s="287">
        <f t="shared" si="214"/>
        <v>0</v>
      </c>
      <c r="P559" s="287">
        <f t="shared" si="215"/>
        <v>0</v>
      </c>
      <c r="Q559" s="288"/>
      <c r="R559" s="311" t="str">
        <f>IF(P557&gt;0,"xy","")</f>
        <v/>
      </c>
      <c r="S559" s="378" t="str">
        <f t="shared" si="204"/>
        <v/>
      </c>
    </row>
    <row r="560" spans="2:19" hidden="1" x14ac:dyDescent="0.2">
      <c r="B560" s="730" t="s">
        <v>168</v>
      </c>
      <c r="C560" s="300"/>
      <c r="D560" s="417" t="s">
        <v>253</v>
      </c>
      <c r="E560" s="704"/>
      <c r="F560" s="661">
        <v>20</v>
      </c>
      <c r="G560" s="665">
        <f>ROUND(1.11*0.06,4)</f>
        <v>6.6600000000000006E-2</v>
      </c>
      <c r="H560" s="663">
        <f t="shared" si="230"/>
        <v>1.5437880000000002</v>
      </c>
      <c r="I560" s="380"/>
      <c r="J560" s="631" t="str">
        <f t="shared" si="229"/>
        <v/>
      </c>
      <c r="K560" s="593">
        <f t="shared" si="213"/>
        <v>0</v>
      </c>
      <c r="L560" s="651" t="s">
        <v>755</v>
      </c>
      <c r="M560" s="418"/>
      <c r="N560" s="419">
        <v>0</v>
      </c>
      <c r="O560" s="287">
        <f t="shared" si="214"/>
        <v>0</v>
      </c>
      <c r="P560" s="287">
        <f t="shared" si="215"/>
        <v>0</v>
      </c>
      <c r="Q560" s="288"/>
      <c r="R560" s="311" t="str">
        <f>IF(P557&gt;0,"xy","")</f>
        <v/>
      </c>
      <c r="S560" s="378" t="str">
        <f t="shared" si="204"/>
        <v/>
      </c>
    </row>
    <row r="561" spans="2:19" hidden="1" x14ac:dyDescent="0.2">
      <c r="B561" s="730" t="s">
        <v>2029</v>
      </c>
      <c r="C561" s="300" t="s">
        <v>207</v>
      </c>
      <c r="D561" s="383" t="s">
        <v>764</v>
      </c>
      <c r="E561" s="704"/>
      <c r="F561" s="661"/>
      <c r="G561" s="665"/>
      <c r="H561" s="664">
        <f>SUM(H562:H564)*0.07</f>
        <v>1.3219901100000002</v>
      </c>
      <c r="I561" s="380">
        <v>37.350200000000001</v>
      </c>
      <c r="J561" s="631">
        <f t="shared" si="229"/>
        <v>38.672190110000003</v>
      </c>
      <c r="K561" s="593">
        <f t="shared" si="213"/>
        <v>49.02</v>
      </c>
      <c r="L561" s="594" t="s">
        <v>18</v>
      </c>
      <c r="M561" s="30"/>
      <c r="N561" s="30">
        <v>49.02</v>
      </c>
      <c r="O561" s="287">
        <f t="shared" si="214"/>
        <v>0</v>
      </c>
      <c r="P561" s="287">
        <f t="shared" si="215"/>
        <v>0</v>
      </c>
      <c r="Q561" s="288"/>
      <c r="R561" s="243"/>
      <c r="S561" s="378" t="str">
        <f t="shared" si="204"/>
        <v/>
      </c>
    </row>
    <row r="562" spans="2:19" hidden="1" x14ac:dyDescent="0.2">
      <c r="B562" s="730" t="s">
        <v>168</v>
      </c>
      <c r="C562" s="300"/>
      <c r="D562" s="417" t="s">
        <v>213</v>
      </c>
      <c r="E562" s="704"/>
      <c r="F562" s="661">
        <v>500</v>
      </c>
      <c r="G562" s="665">
        <f>ROUND(0.27*0.07,4)</f>
        <v>1.89E-2</v>
      </c>
      <c r="H562" s="664">
        <f>IF(F562&lt;=30,(0.75*F562+6.29)*G562,((0.75*30+6.29)+0.62*(F562-30))*G562)</f>
        <v>6.0515910000000002</v>
      </c>
      <c r="I562" s="380"/>
      <c r="J562" s="631" t="str">
        <f t="shared" si="229"/>
        <v/>
      </c>
      <c r="K562" s="593">
        <f t="shared" si="213"/>
        <v>0</v>
      </c>
      <c r="L562" s="651" t="s">
        <v>755</v>
      </c>
      <c r="M562" s="418"/>
      <c r="N562" s="419">
        <v>0</v>
      </c>
      <c r="O562" s="287">
        <f t="shared" si="214"/>
        <v>0</v>
      </c>
      <c r="P562" s="287">
        <f t="shared" si="215"/>
        <v>0</v>
      </c>
      <c r="Q562" s="288"/>
      <c r="R562" s="311" t="str">
        <f>IF(P561&gt;0,"xy","")</f>
        <v/>
      </c>
      <c r="S562" s="378" t="str">
        <f t="shared" si="204"/>
        <v/>
      </c>
    </row>
    <row r="563" spans="2:19" hidden="1" x14ac:dyDescent="0.2">
      <c r="B563" s="730" t="s">
        <v>168</v>
      </c>
      <c r="C563" s="300"/>
      <c r="D563" s="417" t="s">
        <v>249</v>
      </c>
      <c r="E563" s="704"/>
      <c r="F563" s="661">
        <v>180</v>
      </c>
      <c r="G563" s="665">
        <f>ROUND(0.96*0.07,4)</f>
        <v>6.7199999999999996E-2</v>
      </c>
      <c r="H563" s="663">
        <f t="shared" ref="H563:H564" si="231">IF(F563&lt;=30,(1.05*F563+2.18)*G563,((1.05*30+2.18)+0.87*(F563-30))*G563)</f>
        <v>11.032895999999999</v>
      </c>
      <c r="I563" s="380"/>
      <c r="J563" s="631" t="str">
        <f t="shared" si="229"/>
        <v/>
      </c>
      <c r="K563" s="593">
        <f t="shared" si="213"/>
        <v>0</v>
      </c>
      <c r="L563" s="651" t="s">
        <v>755</v>
      </c>
      <c r="M563" s="418"/>
      <c r="N563" s="419">
        <v>0</v>
      </c>
      <c r="O563" s="287">
        <f t="shared" si="214"/>
        <v>0</v>
      </c>
      <c r="P563" s="287">
        <f t="shared" si="215"/>
        <v>0</v>
      </c>
      <c r="Q563" s="288"/>
      <c r="R563" s="311" t="str">
        <f>IF(P561&gt;0,"xy","")</f>
        <v/>
      </c>
      <c r="S563" s="378" t="str">
        <f t="shared" ref="S563:S638" si="232">IF(R563="x","x",IF(R563="y","x",IF(R563="xy","x",IF(P563&gt;0,"x",""))))</f>
        <v/>
      </c>
    </row>
    <row r="564" spans="2:19" hidden="1" x14ac:dyDescent="0.2">
      <c r="B564" s="730" t="s">
        <v>168</v>
      </c>
      <c r="C564" s="300"/>
      <c r="D564" s="417" t="s">
        <v>253</v>
      </c>
      <c r="E564" s="704"/>
      <c r="F564" s="661">
        <v>20</v>
      </c>
      <c r="G564" s="665">
        <f>ROUND(1.11*0.07,4)</f>
        <v>7.7700000000000005E-2</v>
      </c>
      <c r="H564" s="663">
        <f t="shared" si="231"/>
        <v>1.8010860000000002</v>
      </c>
      <c r="I564" s="380"/>
      <c r="J564" s="631" t="str">
        <f t="shared" si="229"/>
        <v/>
      </c>
      <c r="K564" s="593">
        <f t="shared" si="213"/>
        <v>0</v>
      </c>
      <c r="L564" s="651" t="s">
        <v>755</v>
      </c>
      <c r="M564" s="418"/>
      <c r="N564" s="419">
        <v>0</v>
      </c>
      <c r="O564" s="287">
        <f t="shared" si="214"/>
        <v>0</v>
      </c>
      <c r="P564" s="287">
        <f t="shared" si="215"/>
        <v>0</v>
      </c>
      <c r="Q564" s="288"/>
      <c r="R564" s="311" t="str">
        <f>IF(P561&gt;0,"xy","")</f>
        <v/>
      </c>
      <c r="S564" s="378" t="str">
        <f t="shared" si="232"/>
        <v/>
      </c>
    </row>
    <row r="565" spans="2:19" hidden="1" x14ac:dyDescent="0.2">
      <c r="B565" s="730" t="s">
        <v>2030</v>
      </c>
      <c r="C565" s="300" t="s">
        <v>207</v>
      </c>
      <c r="D565" s="383" t="s">
        <v>773</v>
      </c>
      <c r="E565" s="704"/>
      <c r="F565" s="661"/>
      <c r="G565" s="665"/>
      <c r="H565" s="664">
        <f>SUM(H566:H568)*0.08</f>
        <v>1.7266809600000002</v>
      </c>
      <c r="I565" s="380">
        <v>42.358799999999995</v>
      </c>
      <c r="J565" s="631">
        <f t="shared" si="229"/>
        <v>44.085480959999998</v>
      </c>
      <c r="K565" s="593">
        <f t="shared" si="213"/>
        <v>55.88</v>
      </c>
      <c r="L565" s="594" t="s">
        <v>18</v>
      </c>
      <c r="M565" s="30"/>
      <c r="N565" s="30">
        <v>55.88</v>
      </c>
      <c r="O565" s="287">
        <f t="shared" si="214"/>
        <v>0</v>
      </c>
      <c r="P565" s="287">
        <f t="shared" si="215"/>
        <v>0</v>
      </c>
      <c r="Q565" s="288"/>
      <c r="R565" s="243"/>
      <c r="S565" s="378" t="str">
        <f t="shared" si="232"/>
        <v/>
      </c>
    </row>
    <row r="566" spans="2:19" hidden="1" x14ac:dyDescent="0.2">
      <c r="B566" s="730" t="s">
        <v>168</v>
      </c>
      <c r="C566" s="300"/>
      <c r="D566" s="417" t="s">
        <v>213</v>
      </c>
      <c r="E566" s="704"/>
      <c r="F566" s="661">
        <v>500</v>
      </c>
      <c r="G566" s="665">
        <f>ROUND(0.27*0.08,4)</f>
        <v>2.1600000000000001E-2</v>
      </c>
      <c r="H566" s="664">
        <f>IF(F566&lt;=30,(0.75*F566+6.29)*G566,((0.75*30+6.29)+0.62*(F566-30))*G566)</f>
        <v>6.9161040000000007</v>
      </c>
      <c r="I566" s="380">
        <v>0</v>
      </c>
      <c r="J566" s="631"/>
      <c r="K566" s="593">
        <f t="shared" si="213"/>
        <v>0</v>
      </c>
      <c r="L566" s="651" t="s">
        <v>755</v>
      </c>
      <c r="M566" s="418"/>
      <c r="N566" s="419">
        <v>0</v>
      </c>
      <c r="O566" s="287">
        <f t="shared" si="214"/>
        <v>0</v>
      </c>
      <c r="P566" s="287">
        <f t="shared" si="215"/>
        <v>0</v>
      </c>
      <c r="Q566" s="288"/>
      <c r="R566" s="311" t="str">
        <f>IF(P565&gt;0,"xy","")</f>
        <v/>
      </c>
      <c r="S566" s="378" t="str">
        <f t="shared" si="232"/>
        <v/>
      </c>
    </row>
    <row r="567" spans="2:19" hidden="1" x14ac:dyDescent="0.2">
      <c r="B567" s="730" t="s">
        <v>168</v>
      </c>
      <c r="C567" s="300"/>
      <c r="D567" s="417" t="s">
        <v>249</v>
      </c>
      <c r="E567" s="704"/>
      <c r="F567" s="661">
        <v>180</v>
      </c>
      <c r="G567" s="665">
        <f>ROUND(0.96*0.08,4)</f>
        <v>7.6799999999999993E-2</v>
      </c>
      <c r="H567" s="663">
        <f t="shared" ref="H567:H568" si="233">IF(F567&lt;=30,(1.05*F567+2.18)*G567,((1.05*30+2.18)+0.87*(F567-30))*G567)</f>
        <v>12.609024</v>
      </c>
      <c r="I567" s="380">
        <v>0</v>
      </c>
      <c r="J567" s="631"/>
      <c r="K567" s="593">
        <f t="shared" si="213"/>
        <v>0</v>
      </c>
      <c r="L567" s="651" t="s">
        <v>755</v>
      </c>
      <c r="M567" s="418"/>
      <c r="N567" s="419">
        <v>0</v>
      </c>
      <c r="O567" s="287">
        <f t="shared" si="214"/>
        <v>0</v>
      </c>
      <c r="P567" s="287">
        <f t="shared" si="215"/>
        <v>0</v>
      </c>
      <c r="Q567" s="288"/>
      <c r="R567" s="311" t="str">
        <f>IF(P565&gt;0,"xy","")</f>
        <v/>
      </c>
      <c r="S567" s="378" t="str">
        <f t="shared" si="232"/>
        <v/>
      </c>
    </row>
    <row r="568" spans="2:19" hidden="1" x14ac:dyDescent="0.2">
      <c r="B568" s="730" t="s">
        <v>168</v>
      </c>
      <c r="C568" s="300"/>
      <c r="D568" s="417" t="s">
        <v>253</v>
      </c>
      <c r="E568" s="704"/>
      <c r="F568" s="661">
        <v>20</v>
      </c>
      <c r="G568" s="665">
        <f>ROUND(1.11*0.08,4)</f>
        <v>8.8800000000000004E-2</v>
      </c>
      <c r="H568" s="663">
        <f t="shared" si="233"/>
        <v>2.0583840000000002</v>
      </c>
      <c r="I568" s="380">
        <v>0</v>
      </c>
      <c r="J568" s="631"/>
      <c r="K568" s="593">
        <f t="shared" si="213"/>
        <v>0</v>
      </c>
      <c r="L568" s="651" t="s">
        <v>755</v>
      </c>
      <c r="M568" s="418"/>
      <c r="N568" s="419">
        <v>0</v>
      </c>
      <c r="O568" s="287">
        <f t="shared" si="214"/>
        <v>0</v>
      </c>
      <c r="P568" s="287">
        <f t="shared" si="215"/>
        <v>0</v>
      </c>
      <c r="Q568" s="288"/>
      <c r="R568" s="311" t="str">
        <f>IF(P565&gt;0,"xy","")</f>
        <v/>
      </c>
      <c r="S568" s="378" t="str">
        <f t="shared" si="232"/>
        <v/>
      </c>
    </row>
    <row r="569" spans="2:19" hidden="1" x14ac:dyDescent="0.2">
      <c r="B569" s="730" t="s">
        <v>1725</v>
      </c>
      <c r="C569" s="300" t="s">
        <v>207</v>
      </c>
      <c r="D569" s="383" t="s">
        <v>285</v>
      </c>
      <c r="E569" s="704"/>
      <c r="F569" s="661">
        <v>0</v>
      </c>
      <c r="G569" s="665"/>
      <c r="H569" s="664">
        <v>0</v>
      </c>
      <c r="I569" s="380">
        <v>4.5599999999999996</v>
      </c>
      <c r="J569" s="631">
        <f t="shared" ref="J569:J570" si="234">IF(ISBLANK(I569),"",SUM(H569:I569))</f>
        <v>4.5599999999999996</v>
      </c>
      <c r="K569" s="593">
        <f t="shared" si="213"/>
        <v>5.78</v>
      </c>
      <c r="L569" s="594" t="s">
        <v>18</v>
      </c>
      <c r="M569" s="30"/>
      <c r="N569" s="30">
        <v>5.78</v>
      </c>
      <c r="O569" s="287">
        <f t="shared" si="214"/>
        <v>0</v>
      </c>
      <c r="P569" s="287">
        <f t="shared" si="215"/>
        <v>0</v>
      </c>
      <c r="Q569" s="288"/>
      <c r="R569" s="243"/>
      <c r="S569" s="378" t="str">
        <f t="shared" si="232"/>
        <v/>
      </c>
    </row>
    <row r="570" spans="2:19" hidden="1" x14ac:dyDescent="0.2">
      <c r="B570" s="730" t="s">
        <v>1730</v>
      </c>
      <c r="C570" s="300" t="s">
        <v>207</v>
      </c>
      <c r="D570" s="383" t="s">
        <v>286</v>
      </c>
      <c r="E570" s="704"/>
      <c r="F570" s="661">
        <v>0</v>
      </c>
      <c r="G570" s="665">
        <v>0</v>
      </c>
      <c r="H570" s="664">
        <v>0</v>
      </c>
      <c r="I570" s="380">
        <v>3.87</v>
      </c>
      <c r="J570" s="631">
        <f t="shared" si="234"/>
        <v>3.87</v>
      </c>
      <c r="K570" s="593">
        <f t="shared" si="213"/>
        <v>4.91</v>
      </c>
      <c r="L570" s="594" t="s">
        <v>18</v>
      </c>
      <c r="M570" s="30"/>
      <c r="N570" s="30">
        <v>4.91</v>
      </c>
      <c r="O570" s="287">
        <f t="shared" si="214"/>
        <v>0</v>
      </c>
      <c r="P570" s="287">
        <f t="shared" si="215"/>
        <v>0</v>
      </c>
      <c r="Q570" s="288"/>
      <c r="R570" s="243"/>
      <c r="S570" s="378" t="str">
        <f t="shared" si="232"/>
        <v/>
      </c>
    </row>
    <row r="571" spans="2:19" hidden="1" x14ac:dyDescent="0.2">
      <c r="B571" s="730" t="s">
        <v>2031</v>
      </c>
      <c r="C571" s="300" t="s">
        <v>207</v>
      </c>
      <c r="D571" s="383" t="s">
        <v>287</v>
      </c>
      <c r="E571" s="704"/>
      <c r="F571" s="671">
        <v>0.5</v>
      </c>
      <c r="G571" s="701">
        <f>1.5*1.4</f>
        <v>2.0999999999999996</v>
      </c>
      <c r="H571" s="663">
        <f t="shared" ref="H571:H579" si="235">IF(F571&lt;=30,(1.05*F571+2.18)*G571,((1.05*30+2.18)+0.87*(F571-30))*G571)</f>
        <v>5.6804999999999994</v>
      </c>
      <c r="I571" s="776">
        <v>12.066000000000001</v>
      </c>
      <c r="J571" s="631">
        <f>IF(ISBLANK(I571),"",SUM(H571:I571))</f>
        <v>17.746500000000001</v>
      </c>
      <c r="K571" s="593">
        <f t="shared" si="213"/>
        <v>22.49</v>
      </c>
      <c r="L571" s="594" t="s">
        <v>16</v>
      </c>
      <c r="M571" s="30"/>
      <c r="N571" s="30">
        <v>22.49</v>
      </c>
      <c r="O571" s="287">
        <f t="shared" si="214"/>
        <v>0</v>
      </c>
      <c r="P571" s="287">
        <f t="shared" si="215"/>
        <v>0</v>
      </c>
      <c r="Q571" s="288"/>
      <c r="R571" s="243"/>
      <c r="S571" s="378" t="str">
        <f t="shared" si="232"/>
        <v/>
      </c>
    </row>
    <row r="572" spans="2:19" hidden="1" x14ac:dyDescent="0.2">
      <c r="B572" s="730" t="s">
        <v>2032</v>
      </c>
      <c r="C572" s="300" t="s">
        <v>207</v>
      </c>
      <c r="D572" s="383" t="s">
        <v>288</v>
      </c>
      <c r="E572" s="704"/>
      <c r="F572" s="671">
        <v>15</v>
      </c>
      <c r="G572" s="701">
        <f>1.5*1.4</f>
        <v>2.0999999999999996</v>
      </c>
      <c r="H572" s="663">
        <f t="shared" si="235"/>
        <v>37.652999999999992</v>
      </c>
      <c r="I572" s="776">
        <v>12.066000000000001</v>
      </c>
      <c r="J572" s="631">
        <f>IF(ISBLANK(I572),"",SUM(H572:I572))</f>
        <v>49.718999999999994</v>
      </c>
      <c r="K572" s="593">
        <f t="shared" si="213"/>
        <v>63.02</v>
      </c>
      <c r="L572" s="594" t="s">
        <v>16</v>
      </c>
      <c r="M572" s="30"/>
      <c r="N572" s="30">
        <v>63.02</v>
      </c>
      <c r="O572" s="287">
        <f t="shared" si="214"/>
        <v>0</v>
      </c>
      <c r="P572" s="287">
        <f t="shared" si="215"/>
        <v>0</v>
      </c>
      <c r="Q572" s="288"/>
      <c r="R572" s="243"/>
      <c r="S572" s="378" t="str">
        <f t="shared" si="232"/>
        <v/>
      </c>
    </row>
    <row r="573" spans="2:19" hidden="1" x14ac:dyDescent="0.2">
      <c r="B573" s="730" t="s">
        <v>2033</v>
      </c>
      <c r="C573" s="300" t="s">
        <v>207</v>
      </c>
      <c r="D573" s="383" t="s">
        <v>495</v>
      </c>
      <c r="E573" s="704"/>
      <c r="F573" s="671">
        <v>15</v>
      </c>
      <c r="G573" s="701">
        <v>1.95</v>
      </c>
      <c r="H573" s="663">
        <f t="shared" si="235"/>
        <v>34.963499999999996</v>
      </c>
      <c r="I573" s="380">
        <v>23.82</v>
      </c>
      <c r="J573" s="631">
        <f t="shared" ref="J573:J574" si="236">IF(ISBLANK(I573),"",SUM(H573:I573))</f>
        <v>58.783499999999997</v>
      </c>
      <c r="K573" s="593">
        <f t="shared" si="213"/>
        <v>74.510000000000005</v>
      </c>
      <c r="L573" s="594" t="s">
        <v>16</v>
      </c>
      <c r="M573" s="30"/>
      <c r="N573" s="30">
        <v>74.510000000000005</v>
      </c>
      <c r="O573" s="287">
        <f t="shared" si="214"/>
        <v>0</v>
      </c>
      <c r="P573" s="287">
        <f t="shared" si="215"/>
        <v>0</v>
      </c>
      <c r="Q573" s="288"/>
      <c r="R573" s="243"/>
      <c r="S573" s="378" t="str">
        <f t="shared" si="232"/>
        <v/>
      </c>
    </row>
    <row r="574" spans="2:19" hidden="1" x14ac:dyDescent="0.2">
      <c r="B574" s="730" t="s">
        <v>2034</v>
      </c>
      <c r="C574" s="300" t="s">
        <v>207</v>
      </c>
      <c r="D574" s="383" t="s">
        <v>506</v>
      </c>
      <c r="E574" s="704"/>
      <c r="F574" s="671">
        <v>15</v>
      </c>
      <c r="G574" s="701">
        <v>1.98</v>
      </c>
      <c r="H574" s="663">
        <f t="shared" si="235"/>
        <v>35.501399999999997</v>
      </c>
      <c r="I574" s="380">
        <v>28.259999999999998</v>
      </c>
      <c r="J574" s="631">
        <f t="shared" si="236"/>
        <v>63.761399999999995</v>
      </c>
      <c r="K574" s="593">
        <f t="shared" si="213"/>
        <v>80.819999999999993</v>
      </c>
      <c r="L574" s="594" t="s">
        <v>16</v>
      </c>
      <c r="M574" s="30"/>
      <c r="N574" s="30">
        <v>80.819999999999993</v>
      </c>
      <c r="O574" s="287">
        <f t="shared" si="214"/>
        <v>0</v>
      </c>
      <c r="P574" s="287">
        <f t="shared" si="215"/>
        <v>0</v>
      </c>
      <c r="Q574" s="288"/>
      <c r="R574" s="243"/>
      <c r="S574" s="378" t="str">
        <f t="shared" si="232"/>
        <v/>
      </c>
    </row>
    <row r="575" spans="2:19" hidden="1" x14ac:dyDescent="0.2">
      <c r="B575" s="730" t="s">
        <v>2035</v>
      </c>
      <c r="C575" s="300" t="s">
        <v>207</v>
      </c>
      <c r="D575" s="383" t="s">
        <v>289</v>
      </c>
      <c r="E575" s="704"/>
      <c r="F575" s="671">
        <v>15</v>
      </c>
      <c r="G575" s="701">
        <v>2.1</v>
      </c>
      <c r="H575" s="663">
        <f t="shared" si="235"/>
        <v>37.652999999999999</v>
      </c>
      <c r="I575" s="380">
        <v>28.259999999999998</v>
      </c>
      <c r="J575" s="631">
        <f t="shared" ref="J575:J580" si="237">IF(ISBLANK(I575),"",SUM(H575:I575))</f>
        <v>65.912999999999997</v>
      </c>
      <c r="K575" s="593">
        <f t="shared" si="213"/>
        <v>83.54</v>
      </c>
      <c r="L575" s="594" t="s">
        <v>16</v>
      </c>
      <c r="M575" s="30"/>
      <c r="N575" s="30">
        <v>83.54</v>
      </c>
      <c r="O575" s="287">
        <f t="shared" si="214"/>
        <v>0</v>
      </c>
      <c r="P575" s="287">
        <f t="shared" si="215"/>
        <v>0</v>
      </c>
      <c r="Q575" s="288"/>
      <c r="R575" s="243"/>
      <c r="S575" s="378" t="str">
        <f t="shared" si="232"/>
        <v/>
      </c>
    </row>
    <row r="576" spans="2:19" hidden="1" x14ac:dyDescent="0.2">
      <c r="B576" s="730" t="s">
        <v>2036</v>
      </c>
      <c r="C576" s="300" t="s">
        <v>207</v>
      </c>
      <c r="D576" s="383" t="s">
        <v>237</v>
      </c>
      <c r="E576" s="704"/>
      <c r="F576" s="671">
        <v>20</v>
      </c>
      <c r="G576" s="701">
        <v>2.2000000000000002</v>
      </c>
      <c r="H576" s="663">
        <f t="shared" si="235"/>
        <v>50.996000000000002</v>
      </c>
      <c r="I576" s="380">
        <v>82.33</v>
      </c>
      <c r="J576" s="631">
        <f t="shared" si="237"/>
        <v>133.32599999999999</v>
      </c>
      <c r="K576" s="593">
        <f t="shared" si="213"/>
        <v>168.99</v>
      </c>
      <c r="L576" s="594" t="s">
        <v>16</v>
      </c>
      <c r="M576" s="30"/>
      <c r="N576" s="30">
        <v>168.99</v>
      </c>
      <c r="O576" s="287">
        <f t="shared" si="214"/>
        <v>0</v>
      </c>
      <c r="P576" s="287">
        <f t="shared" si="215"/>
        <v>0</v>
      </c>
      <c r="Q576" s="288"/>
      <c r="R576" s="243"/>
      <c r="S576" s="378" t="str">
        <f t="shared" si="232"/>
        <v/>
      </c>
    </row>
    <row r="577" spans="2:19" hidden="1" x14ac:dyDescent="0.2">
      <c r="B577" s="731" t="s">
        <v>1763</v>
      </c>
      <c r="C577" s="300" t="s">
        <v>498</v>
      </c>
      <c r="D577" s="383" t="s">
        <v>775</v>
      </c>
      <c r="E577" s="704"/>
      <c r="F577" s="671">
        <v>10</v>
      </c>
      <c r="G577" s="701">
        <v>1.95</v>
      </c>
      <c r="H577" s="663">
        <f t="shared" si="235"/>
        <v>24.725999999999999</v>
      </c>
      <c r="I577" s="380">
        <v>72.11</v>
      </c>
      <c r="J577" s="631">
        <f t="shared" si="237"/>
        <v>96.835999999999999</v>
      </c>
      <c r="K577" s="593">
        <f t="shared" si="213"/>
        <v>122.74</v>
      </c>
      <c r="L577" s="594" t="s">
        <v>16</v>
      </c>
      <c r="M577" s="30"/>
      <c r="N577" s="30">
        <v>122.74</v>
      </c>
      <c r="O577" s="287">
        <f t="shared" si="214"/>
        <v>0</v>
      </c>
      <c r="P577" s="287">
        <f t="shared" si="215"/>
        <v>0</v>
      </c>
      <c r="Q577" s="288"/>
      <c r="R577" s="243"/>
      <c r="S577" s="378" t="str">
        <f t="shared" si="232"/>
        <v/>
      </c>
    </row>
    <row r="578" spans="2:19" hidden="1" x14ac:dyDescent="0.2">
      <c r="B578" s="731" t="s">
        <v>1764</v>
      </c>
      <c r="C578" s="300" t="s">
        <v>498</v>
      </c>
      <c r="D578" s="383" t="s">
        <v>776</v>
      </c>
      <c r="E578" s="704"/>
      <c r="F578" s="671">
        <v>11</v>
      </c>
      <c r="G578" s="701">
        <v>2.1</v>
      </c>
      <c r="H578" s="663">
        <f t="shared" si="235"/>
        <v>28.833000000000002</v>
      </c>
      <c r="I578" s="380">
        <v>88.65</v>
      </c>
      <c r="J578" s="631">
        <f t="shared" si="237"/>
        <v>117.483</v>
      </c>
      <c r="K578" s="593">
        <f t="shared" si="213"/>
        <v>148.91</v>
      </c>
      <c r="L578" s="594" t="s">
        <v>16</v>
      </c>
      <c r="M578" s="30"/>
      <c r="N578" s="30">
        <v>148.91</v>
      </c>
      <c r="O578" s="287">
        <f t="shared" si="214"/>
        <v>0</v>
      </c>
      <c r="P578" s="287">
        <f t="shared" si="215"/>
        <v>0</v>
      </c>
      <c r="Q578" s="288"/>
      <c r="R578" s="243"/>
      <c r="S578" s="378" t="str">
        <f t="shared" si="232"/>
        <v/>
      </c>
    </row>
    <row r="579" spans="2:19" hidden="1" x14ac:dyDescent="0.2">
      <c r="B579" s="730" t="s">
        <v>2037</v>
      </c>
      <c r="C579" s="300" t="s">
        <v>207</v>
      </c>
      <c r="D579" s="383" t="s">
        <v>507</v>
      </c>
      <c r="E579" s="704"/>
      <c r="F579" s="671">
        <v>20</v>
      </c>
      <c r="G579" s="701">
        <v>2.2000000000000002</v>
      </c>
      <c r="H579" s="663">
        <f t="shared" si="235"/>
        <v>50.996000000000002</v>
      </c>
      <c r="I579" s="380">
        <v>82.33</v>
      </c>
      <c r="J579" s="631">
        <f t="shared" si="237"/>
        <v>133.32599999999999</v>
      </c>
      <c r="K579" s="593">
        <f t="shared" si="213"/>
        <v>168.99</v>
      </c>
      <c r="L579" s="594" t="s">
        <v>16</v>
      </c>
      <c r="M579" s="30"/>
      <c r="N579" s="30">
        <v>168.99</v>
      </c>
      <c r="O579" s="287">
        <f t="shared" si="214"/>
        <v>0</v>
      </c>
      <c r="P579" s="287">
        <f t="shared" si="215"/>
        <v>0</v>
      </c>
      <c r="Q579" s="288"/>
      <c r="R579" s="243"/>
      <c r="S579" s="378" t="str">
        <f t="shared" si="232"/>
        <v/>
      </c>
    </row>
    <row r="580" spans="2:19" ht="13.5" hidden="1" thickBot="1" x14ac:dyDescent="0.25">
      <c r="B580" s="730" t="s">
        <v>2038</v>
      </c>
      <c r="C580" s="300" t="s">
        <v>207</v>
      </c>
      <c r="D580" s="383" t="s">
        <v>290</v>
      </c>
      <c r="E580" s="704"/>
      <c r="F580" s="661">
        <v>20</v>
      </c>
      <c r="G580" s="665">
        <v>2.4</v>
      </c>
      <c r="H580" s="664">
        <f>IF(F580&lt;=30,(1.05*F580+4.37)*G580,((1.05*30+4.37)+0.87*(F580-30))*G580)</f>
        <v>60.887999999999998</v>
      </c>
      <c r="I580" s="380">
        <v>110.9</v>
      </c>
      <c r="J580" s="631">
        <f t="shared" si="237"/>
        <v>171.78800000000001</v>
      </c>
      <c r="K580" s="593">
        <f t="shared" si="213"/>
        <v>217.74</v>
      </c>
      <c r="L580" s="594" t="s">
        <v>16</v>
      </c>
      <c r="M580" s="422"/>
      <c r="N580" s="422">
        <v>217.74</v>
      </c>
      <c r="O580" s="413">
        <f t="shared" si="214"/>
        <v>0</v>
      </c>
      <c r="P580" s="413">
        <f t="shared" si="215"/>
        <v>0</v>
      </c>
      <c r="Q580" s="288"/>
      <c r="R580" s="243"/>
      <c r="S580" s="378" t="str">
        <f t="shared" si="232"/>
        <v/>
      </c>
    </row>
    <row r="581" spans="2:19" hidden="1" x14ac:dyDescent="0.2">
      <c r="B581" s="782" t="s">
        <v>2039</v>
      </c>
      <c r="C581" s="710" t="s">
        <v>207</v>
      </c>
      <c r="D581" s="716" t="s">
        <v>1765</v>
      </c>
      <c r="E581" s="717"/>
      <c r="F581" s="658" t="s">
        <v>809</v>
      </c>
      <c r="G581" s="659">
        <v>1.1999999999999999E-3</v>
      </c>
      <c r="H581" s="660"/>
      <c r="I581" s="656">
        <v>0.44</v>
      </c>
      <c r="J581" s="656">
        <f>I581</f>
        <v>0.44</v>
      </c>
      <c r="K581" s="606">
        <f t="shared" si="213"/>
        <v>0.56000000000000005</v>
      </c>
      <c r="L581" s="648" t="s">
        <v>18</v>
      </c>
      <c r="M581" s="697"/>
      <c r="N581" s="698">
        <v>0.56000000000000005</v>
      </c>
      <c r="O581" s="423">
        <f t="shared" si="214"/>
        <v>0</v>
      </c>
      <c r="P581" s="424">
        <f t="shared" si="215"/>
        <v>0</v>
      </c>
      <c r="Q581" s="288"/>
      <c r="R581" s="243"/>
      <c r="S581" s="378" t="str">
        <f t="shared" si="232"/>
        <v/>
      </c>
    </row>
    <row r="582" spans="2:19" ht="13.5" hidden="1" thickBot="1" x14ac:dyDescent="0.25">
      <c r="B582" s="783" t="s">
        <v>2040</v>
      </c>
      <c r="C582" s="766" t="s">
        <v>1947</v>
      </c>
      <c r="D582" s="754" t="s">
        <v>931</v>
      </c>
      <c r="E582" s="718"/>
      <c r="F582" s="784">
        <v>500</v>
      </c>
      <c r="G582" s="785">
        <v>1</v>
      </c>
      <c r="H582" s="663">
        <f>(0.74*F582+36.12)*G582</f>
        <v>406.12</v>
      </c>
      <c r="I582" s="657">
        <v>4520.62</v>
      </c>
      <c r="J582" s="657">
        <f>IF(ISBLANK(I582),"",I582*(1+$F$9)/(1+$F$10))+H582</f>
        <v>4719.1659692307685</v>
      </c>
      <c r="K582" s="619">
        <f t="shared" si="213"/>
        <v>5981.54</v>
      </c>
      <c r="L582" s="649" t="s">
        <v>20</v>
      </c>
      <c r="M582" s="695">
        <f>ROUND(M581*G581,2)</f>
        <v>0</v>
      </c>
      <c r="N582" s="696">
        <v>5981.54</v>
      </c>
      <c r="O582" s="425">
        <f t="shared" si="214"/>
        <v>0</v>
      </c>
      <c r="P582" s="426">
        <f t="shared" si="215"/>
        <v>0</v>
      </c>
      <c r="Q582" s="288"/>
      <c r="R582" s="243"/>
      <c r="S582" s="378" t="str">
        <f t="shared" si="232"/>
        <v/>
      </c>
    </row>
    <row r="583" spans="2:19" hidden="1" x14ac:dyDescent="0.2">
      <c r="B583" s="782" t="s">
        <v>2041</v>
      </c>
      <c r="C583" s="710" t="s">
        <v>207</v>
      </c>
      <c r="D583" s="716" t="s">
        <v>788</v>
      </c>
      <c r="E583" s="717"/>
      <c r="F583" s="658" t="s">
        <v>809</v>
      </c>
      <c r="G583" s="659">
        <v>1.1000000000000001E-3</v>
      </c>
      <c r="H583" s="660"/>
      <c r="I583" s="656">
        <v>0.44</v>
      </c>
      <c r="J583" s="656">
        <f t="shared" ref="J583" si="238">IF(ISBLANK(I583),"",SUM(H583:I583))</f>
        <v>0.44</v>
      </c>
      <c r="K583" s="606">
        <f t="shared" si="213"/>
        <v>0.56000000000000005</v>
      </c>
      <c r="L583" s="648" t="s">
        <v>18</v>
      </c>
      <c r="M583" s="693"/>
      <c r="N583" s="30">
        <v>0.56000000000000005</v>
      </c>
      <c r="O583" s="379">
        <f t="shared" si="214"/>
        <v>0</v>
      </c>
      <c r="P583" s="694">
        <f t="shared" si="215"/>
        <v>0</v>
      </c>
      <c r="Q583" s="288"/>
      <c r="R583" s="243"/>
      <c r="S583" s="378" t="str">
        <f t="shared" si="232"/>
        <v/>
      </c>
    </row>
    <row r="584" spans="2:19" ht="13.5" hidden="1" thickBot="1" x14ac:dyDescent="0.25">
      <c r="B584" s="783" t="s">
        <v>2042</v>
      </c>
      <c r="C584" s="766" t="s">
        <v>1947</v>
      </c>
      <c r="D584" s="754" t="s">
        <v>932</v>
      </c>
      <c r="E584" s="718"/>
      <c r="F584" s="784">
        <v>500</v>
      </c>
      <c r="G584" s="785">
        <v>1</v>
      </c>
      <c r="H584" s="663">
        <f>(0.74*F584+36.12)*G584</f>
        <v>406.12</v>
      </c>
      <c r="I584" s="657">
        <v>4612.63</v>
      </c>
      <c r="J584" s="657">
        <f>IF(ISBLANK(I584),"",I584*(1+$F$9)/(1+$F$10))+H584</f>
        <v>4806.9511313609473</v>
      </c>
      <c r="K584" s="619">
        <f t="shared" si="213"/>
        <v>6092.81</v>
      </c>
      <c r="L584" s="649" t="s">
        <v>20</v>
      </c>
      <c r="M584" s="695">
        <f>ROUND(M583*G583,2)</f>
        <v>0</v>
      </c>
      <c r="N584" s="696">
        <v>6092.81</v>
      </c>
      <c r="O584" s="425">
        <f t="shared" si="214"/>
        <v>0</v>
      </c>
      <c r="P584" s="426">
        <f t="shared" si="215"/>
        <v>0</v>
      </c>
      <c r="Q584" s="288"/>
      <c r="R584" s="243"/>
      <c r="S584" s="378" t="str">
        <f t="shared" si="232"/>
        <v/>
      </c>
    </row>
    <row r="585" spans="2:19" hidden="1" x14ac:dyDescent="0.2">
      <c r="B585" s="782" t="s">
        <v>2043</v>
      </c>
      <c r="C585" s="710" t="s">
        <v>207</v>
      </c>
      <c r="D585" s="716" t="s">
        <v>789</v>
      </c>
      <c r="E585" s="717"/>
      <c r="F585" s="658" t="s">
        <v>809</v>
      </c>
      <c r="G585" s="659">
        <v>1.1999999999999999E-3</v>
      </c>
      <c r="H585" s="660"/>
      <c r="I585" s="656">
        <v>0.44</v>
      </c>
      <c r="J585" s="656">
        <f t="shared" ref="J585:J587" si="239">IF(ISBLANK(I585),"",SUM(H585:I585))</f>
        <v>0.44</v>
      </c>
      <c r="K585" s="606">
        <f t="shared" si="213"/>
        <v>0.56000000000000005</v>
      </c>
      <c r="L585" s="648" t="s">
        <v>18</v>
      </c>
      <c r="M585" s="693"/>
      <c r="N585" s="30">
        <v>0.56000000000000005</v>
      </c>
      <c r="O585" s="379">
        <f t="shared" si="214"/>
        <v>0</v>
      </c>
      <c r="P585" s="694">
        <f t="shared" si="215"/>
        <v>0</v>
      </c>
      <c r="Q585" s="288"/>
      <c r="R585" s="243"/>
      <c r="S585" s="378" t="str">
        <f t="shared" si="232"/>
        <v/>
      </c>
    </row>
    <row r="586" spans="2:19" ht="13.5" hidden="1" thickBot="1" x14ac:dyDescent="0.25">
      <c r="B586" s="783" t="s">
        <v>2044</v>
      </c>
      <c r="C586" s="766" t="s">
        <v>1947</v>
      </c>
      <c r="D586" s="754" t="s">
        <v>795</v>
      </c>
      <c r="E586" s="718"/>
      <c r="F586" s="784">
        <v>500</v>
      </c>
      <c r="G586" s="785">
        <v>1</v>
      </c>
      <c r="H586" s="663">
        <f>(0.74*F586+36.12)*G586</f>
        <v>406.12</v>
      </c>
      <c r="I586" s="657">
        <v>7777.8</v>
      </c>
      <c r="J586" s="657">
        <f>IF(ISBLANK(I586),"",I586*(1+$F$9)/(1+$F$10))+H586</f>
        <v>7826.7855147928994</v>
      </c>
      <c r="K586" s="619">
        <f t="shared" si="213"/>
        <v>9920.4500000000007</v>
      </c>
      <c r="L586" s="649" t="s">
        <v>20</v>
      </c>
      <c r="M586" s="695">
        <f>ROUND(M585*G585,2)</f>
        <v>0</v>
      </c>
      <c r="N586" s="696">
        <v>9920.4500000000007</v>
      </c>
      <c r="O586" s="425">
        <f t="shared" si="214"/>
        <v>0</v>
      </c>
      <c r="P586" s="426">
        <f t="shared" si="215"/>
        <v>0</v>
      </c>
      <c r="Q586" s="288"/>
      <c r="R586" s="243"/>
      <c r="S586" s="378" t="str">
        <f t="shared" si="232"/>
        <v/>
      </c>
    </row>
    <row r="587" spans="2:19" hidden="1" x14ac:dyDescent="0.2">
      <c r="B587" s="782" t="s">
        <v>2045</v>
      </c>
      <c r="C587" s="710" t="s">
        <v>207</v>
      </c>
      <c r="D587" s="716" t="s">
        <v>933</v>
      </c>
      <c r="E587" s="717"/>
      <c r="F587" s="658" t="s">
        <v>809</v>
      </c>
      <c r="G587" s="659">
        <v>5.0000000000000001E-4</v>
      </c>
      <c r="H587" s="660"/>
      <c r="I587" s="656">
        <v>0.3</v>
      </c>
      <c r="J587" s="656">
        <f t="shared" si="239"/>
        <v>0.3</v>
      </c>
      <c r="K587" s="606">
        <f t="shared" si="213"/>
        <v>0.38</v>
      </c>
      <c r="L587" s="648" t="s">
        <v>18</v>
      </c>
      <c r="M587" s="693"/>
      <c r="N587" s="30">
        <v>0.38</v>
      </c>
      <c r="O587" s="379">
        <f t="shared" si="214"/>
        <v>0</v>
      </c>
      <c r="P587" s="694">
        <f t="shared" si="215"/>
        <v>0</v>
      </c>
      <c r="Q587" s="288"/>
      <c r="R587" s="243"/>
      <c r="S587" s="378" t="str">
        <f t="shared" si="232"/>
        <v/>
      </c>
    </row>
    <row r="588" spans="2:19" ht="13.5" hidden="1" thickBot="1" x14ac:dyDescent="0.25">
      <c r="B588" s="783" t="s">
        <v>2046</v>
      </c>
      <c r="C588" s="766" t="s">
        <v>1947</v>
      </c>
      <c r="D588" s="754" t="s">
        <v>1008</v>
      </c>
      <c r="E588" s="718"/>
      <c r="F588" s="784">
        <v>500</v>
      </c>
      <c r="G588" s="786">
        <v>1</v>
      </c>
      <c r="H588" s="663">
        <f>(0.74*F588+36.12)*G588</f>
        <v>406.12</v>
      </c>
      <c r="I588" s="657">
        <v>4520.62</v>
      </c>
      <c r="J588" s="657">
        <f>IF(ISBLANK(I588),"",I588*(1+$F$9)/(1+$F$10))+H588</f>
        <v>4719.1659692307685</v>
      </c>
      <c r="K588" s="619">
        <f t="shared" si="213"/>
        <v>5981.54</v>
      </c>
      <c r="L588" s="649" t="s">
        <v>20</v>
      </c>
      <c r="M588" s="695">
        <f>ROUND(M587*G587,2)</f>
        <v>0</v>
      </c>
      <c r="N588" s="696">
        <v>5981.54</v>
      </c>
      <c r="O588" s="425">
        <f t="shared" si="214"/>
        <v>0</v>
      </c>
      <c r="P588" s="426">
        <f t="shared" si="215"/>
        <v>0</v>
      </c>
      <c r="Q588" s="288"/>
      <c r="R588" s="243"/>
      <c r="S588" s="378" t="str">
        <f t="shared" si="232"/>
        <v/>
      </c>
    </row>
    <row r="589" spans="2:19" hidden="1" x14ac:dyDescent="0.2">
      <c r="B589" s="791" t="s">
        <v>2047</v>
      </c>
      <c r="C589" s="711" t="s">
        <v>207</v>
      </c>
      <c r="D589" s="716" t="s">
        <v>262</v>
      </c>
      <c r="E589" s="717"/>
      <c r="F589" s="658" t="s">
        <v>803</v>
      </c>
      <c r="G589" s="659">
        <v>5.0000000000000001E-4</v>
      </c>
      <c r="H589" s="660">
        <f>SUM(H590:H590)</f>
        <v>0.16225999999999999</v>
      </c>
      <c r="I589" s="656">
        <v>1.1299999999999999</v>
      </c>
      <c r="J589" s="656">
        <f t="shared" ref="J589" si="240">IF(ISBLANK(I589),"",SUM(H589:I589))</f>
        <v>1.29226</v>
      </c>
      <c r="K589" s="606">
        <f t="shared" si="213"/>
        <v>1.64</v>
      </c>
      <c r="L589" s="648" t="s">
        <v>18</v>
      </c>
      <c r="M589" s="697"/>
      <c r="N589" s="698">
        <v>1.64</v>
      </c>
      <c r="O589" s="423">
        <f t="shared" si="214"/>
        <v>0</v>
      </c>
      <c r="P589" s="424">
        <f t="shared" si="215"/>
        <v>0</v>
      </c>
      <c r="Q589" s="288"/>
      <c r="R589" s="243"/>
      <c r="S589" s="378" t="str">
        <f t="shared" si="232"/>
        <v/>
      </c>
    </row>
    <row r="590" spans="2:19" hidden="1" x14ac:dyDescent="0.2">
      <c r="B590" s="730" t="s">
        <v>168</v>
      </c>
      <c r="C590" s="300"/>
      <c r="D590" s="417" t="s">
        <v>253</v>
      </c>
      <c r="E590" s="704"/>
      <c r="F590" s="671">
        <v>20</v>
      </c>
      <c r="G590" s="665">
        <v>7.0000000000000001E-3</v>
      </c>
      <c r="H590" s="663">
        <f t="shared" ref="H590" si="241">IF(F590&lt;=30,(1.05*F590+2.18)*G590,((1.05*30+2.18)+0.87*(F590-30))*G590)</f>
        <v>0.16225999999999999</v>
      </c>
      <c r="I590" s="380">
        <v>0</v>
      </c>
      <c r="J590" s="380"/>
      <c r="K590" s="593">
        <f t="shared" si="213"/>
        <v>0</v>
      </c>
      <c r="L590" s="651" t="s">
        <v>755</v>
      </c>
      <c r="M590" s="699"/>
      <c r="N590" s="419">
        <v>0</v>
      </c>
      <c r="O590" s="287">
        <f t="shared" si="214"/>
        <v>0</v>
      </c>
      <c r="P590" s="384">
        <f t="shared" si="215"/>
        <v>0</v>
      </c>
      <c r="Q590" s="288"/>
      <c r="R590" s="311" t="str">
        <f>IF(P589&gt;0,"xy","")</f>
        <v/>
      </c>
      <c r="S590" s="378" t="str">
        <f t="shared" si="232"/>
        <v/>
      </c>
    </row>
    <row r="591" spans="2:19" ht="13.5" hidden="1" thickBot="1" x14ac:dyDescent="0.25">
      <c r="B591" s="761" t="s">
        <v>2048</v>
      </c>
      <c r="C591" s="753" t="s">
        <v>1947</v>
      </c>
      <c r="D591" s="712" t="s">
        <v>798</v>
      </c>
      <c r="E591" s="718"/>
      <c r="F591" s="666">
        <v>500</v>
      </c>
      <c r="G591" s="667">
        <v>1</v>
      </c>
      <c r="H591" s="663">
        <f>(0.74*F591+36.12)*G591</f>
        <v>406.12</v>
      </c>
      <c r="I591" s="657">
        <v>4925.2</v>
      </c>
      <c r="J591" s="657">
        <f>IF(ISBLANK(I591),"",I591*(1+$F$9)/(1+$F$10))+H591</f>
        <v>5105.1688047337275</v>
      </c>
      <c r="K591" s="619">
        <f t="shared" si="213"/>
        <v>6470.8</v>
      </c>
      <c r="L591" s="649" t="s">
        <v>20</v>
      </c>
      <c r="M591" s="695">
        <f>ROUND(M589*G589,2)</f>
        <v>0</v>
      </c>
      <c r="N591" s="702">
        <v>6470.8</v>
      </c>
      <c r="O591" s="425">
        <f t="shared" si="214"/>
        <v>0</v>
      </c>
      <c r="P591" s="426">
        <f t="shared" si="215"/>
        <v>0</v>
      </c>
      <c r="Q591" s="288"/>
      <c r="S591" s="378" t="str">
        <f t="shared" si="232"/>
        <v/>
      </c>
    </row>
    <row r="592" spans="2:19" hidden="1" x14ac:dyDescent="0.2">
      <c r="B592" s="760" t="s">
        <v>2049</v>
      </c>
      <c r="C592" s="711" t="s">
        <v>207</v>
      </c>
      <c r="D592" s="716" t="s">
        <v>812</v>
      </c>
      <c r="E592" s="717"/>
      <c r="F592" s="658" t="s">
        <v>805</v>
      </c>
      <c r="G592" s="659">
        <v>0.08</v>
      </c>
      <c r="H592" s="660">
        <f>SUM(H593:H596)</f>
        <v>60.880800000000008</v>
      </c>
      <c r="I592" s="656">
        <v>122.81</v>
      </c>
      <c r="J592" s="656">
        <f t="shared" ref="J592" si="242">IF(ISBLANK(I592),"",SUM(H592:I592))</f>
        <v>183.69080000000002</v>
      </c>
      <c r="K592" s="606">
        <f t="shared" si="213"/>
        <v>232.83</v>
      </c>
      <c r="L592" s="648" t="s">
        <v>16</v>
      </c>
      <c r="M592" s="697"/>
      <c r="N592" s="698">
        <v>232.83</v>
      </c>
      <c r="O592" s="423">
        <f t="shared" si="214"/>
        <v>0</v>
      </c>
      <c r="P592" s="424">
        <f t="shared" si="215"/>
        <v>0</v>
      </c>
      <c r="Q592" s="288"/>
      <c r="R592" s="243"/>
      <c r="S592" s="378" t="str">
        <f t="shared" si="232"/>
        <v/>
      </c>
    </row>
    <row r="593" spans="2:19" hidden="1" x14ac:dyDescent="0.2">
      <c r="B593" s="731" t="s">
        <v>168</v>
      </c>
      <c r="C593" s="300"/>
      <c r="D593" s="417" t="s">
        <v>249</v>
      </c>
      <c r="E593" s="704"/>
      <c r="F593" s="661">
        <v>180</v>
      </c>
      <c r="G593" s="665"/>
      <c r="H593" s="663">
        <f t="shared" ref="H593" si="243">IF(F593&lt;=30,(1.05*F593+2.18)*G593,((1.05*30+2.18)+0.87*(F593-30))*G593)</f>
        <v>0</v>
      </c>
      <c r="I593" s="380">
        <v>0</v>
      </c>
      <c r="J593" s="380">
        <f t="shared" ref="J593" si="244">IF(ISBLANK(I593),"",SUM(H593:I593))</f>
        <v>0</v>
      </c>
      <c r="K593" s="593">
        <f t="shared" si="213"/>
        <v>0</v>
      </c>
      <c r="L593" s="594" t="s">
        <v>755</v>
      </c>
      <c r="M593" s="699"/>
      <c r="N593" s="419">
        <v>0</v>
      </c>
      <c r="O593" s="287">
        <f t="shared" si="214"/>
        <v>0</v>
      </c>
      <c r="P593" s="384">
        <f t="shared" si="215"/>
        <v>0</v>
      </c>
      <c r="Q593" s="288"/>
      <c r="R593" s="311" t="str">
        <f>IF(P592&gt;0,"xy","")</f>
        <v/>
      </c>
      <c r="S593" s="378" t="str">
        <f t="shared" si="232"/>
        <v/>
      </c>
    </row>
    <row r="594" spans="2:19" hidden="1" x14ac:dyDescent="0.2">
      <c r="B594" s="731" t="s">
        <v>168</v>
      </c>
      <c r="C594" s="300"/>
      <c r="D594" s="417" t="s">
        <v>250</v>
      </c>
      <c r="E594" s="704"/>
      <c r="F594" s="661">
        <v>500</v>
      </c>
      <c r="G594" s="665"/>
      <c r="H594" s="664">
        <f>IF(F594&lt;=30,(0.51*F594+4.28)*G594,((0.51*30+4.28)+0.42*(F594-30))*G594)</f>
        <v>0</v>
      </c>
      <c r="I594" s="380">
        <v>0</v>
      </c>
      <c r="J594" s="380">
        <f t="shared" ref="J594" si="245">IF(ISBLANK(I594),"",SUM(H594:I594))</f>
        <v>0</v>
      </c>
      <c r="K594" s="593">
        <f t="shared" ref="K594" si="246">IF(ISBLANK(I594),0,ROUND(J594*(1+$F$10)*(1+$F$11*E594),2))</f>
        <v>0</v>
      </c>
      <c r="L594" s="594" t="s">
        <v>755</v>
      </c>
      <c r="M594" s="699"/>
      <c r="N594" s="419">
        <v>0</v>
      </c>
      <c r="O594" s="287">
        <f t="shared" si="214"/>
        <v>0</v>
      </c>
      <c r="P594" s="384">
        <f t="shared" si="215"/>
        <v>0</v>
      </c>
      <c r="Q594" s="288"/>
      <c r="R594" s="311" t="str">
        <f>IF(P592&gt;0,"xy","")</f>
        <v/>
      </c>
      <c r="S594" s="378" t="str">
        <f t="shared" si="232"/>
        <v/>
      </c>
    </row>
    <row r="595" spans="2:19" hidden="1" x14ac:dyDescent="0.2">
      <c r="B595" s="731" t="s">
        <v>168</v>
      </c>
      <c r="C595" s="300"/>
      <c r="D595" s="417" t="s">
        <v>263</v>
      </c>
      <c r="E595" s="704"/>
      <c r="F595" s="661">
        <v>0.2</v>
      </c>
      <c r="G595" s="665">
        <v>2.12</v>
      </c>
      <c r="H595" s="664">
        <f>IF(F595=0,0,IF(F595&lt;=30,(1.05*F595+2.18)*G595,((1.05*30+2.18)+0.87*(F595-30))*G595))</f>
        <v>5.0668000000000006</v>
      </c>
      <c r="I595" s="380">
        <v>0</v>
      </c>
      <c r="J595" s="380"/>
      <c r="K595" s="593">
        <f t="shared" si="213"/>
        <v>0</v>
      </c>
      <c r="L595" s="594" t="s">
        <v>755</v>
      </c>
      <c r="M595" s="699"/>
      <c r="N595" s="419">
        <v>0</v>
      </c>
      <c r="O595" s="287">
        <f t="shared" si="214"/>
        <v>0</v>
      </c>
      <c r="P595" s="384">
        <f t="shared" si="215"/>
        <v>0</v>
      </c>
      <c r="Q595" s="288"/>
      <c r="R595" s="311" t="str">
        <f>IF(P592&gt;0,"xy","")</f>
        <v/>
      </c>
      <c r="S595" s="378" t="str">
        <f t="shared" si="232"/>
        <v/>
      </c>
    </row>
    <row r="596" spans="2:19" hidden="1" x14ac:dyDescent="0.2">
      <c r="B596" s="731" t="s">
        <v>168</v>
      </c>
      <c r="C596" s="300"/>
      <c r="D596" s="417" t="s">
        <v>264</v>
      </c>
      <c r="E596" s="704"/>
      <c r="F596" s="661">
        <v>20</v>
      </c>
      <c r="G596" s="665">
        <f>SUM(G592:G595)</f>
        <v>2.2000000000000002</v>
      </c>
      <c r="H596" s="664">
        <f>IF(F596&lt;=30,(1.05*F596+4.37)*G596,((1.05*30+4.37)+0.87*(F596-30))*G596)</f>
        <v>55.814000000000007</v>
      </c>
      <c r="I596" s="380">
        <v>0</v>
      </c>
      <c r="J596" s="380"/>
      <c r="K596" s="593">
        <f t="shared" si="213"/>
        <v>0</v>
      </c>
      <c r="L596" s="594" t="s">
        <v>755</v>
      </c>
      <c r="M596" s="699"/>
      <c r="N596" s="703">
        <v>0</v>
      </c>
      <c r="O596" s="287">
        <f t="shared" si="214"/>
        <v>0</v>
      </c>
      <c r="P596" s="384">
        <f t="shared" si="215"/>
        <v>0</v>
      </c>
      <c r="Q596" s="288"/>
      <c r="R596" s="311" t="str">
        <f>IF(P592&gt;0,"xy","")</f>
        <v/>
      </c>
      <c r="S596" s="378" t="str">
        <f t="shared" si="232"/>
        <v/>
      </c>
    </row>
    <row r="597" spans="2:19" ht="13.5" hidden="1" thickBot="1" x14ac:dyDescent="0.25">
      <c r="B597" s="761" t="s">
        <v>2050</v>
      </c>
      <c r="C597" s="753" t="s">
        <v>1947</v>
      </c>
      <c r="D597" s="712" t="s">
        <v>998</v>
      </c>
      <c r="E597" s="718"/>
      <c r="F597" s="666">
        <v>500</v>
      </c>
      <c r="G597" s="667">
        <v>1</v>
      </c>
      <c r="H597" s="663">
        <f>(0.74*F597+36.12)*G597</f>
        <v>406.12</v>
      </c>
      <c r="I597" s="657">
        <v>5048.25</v>
      </c>
      <c r="J597" s="657">
        <f>IF(ISBLANK(I597),"",I597*(1+$F$9)/(1+$F$10))+H597</f>
        <v>5222.5686982248517</v>
      </c>
      <c r="K597" s="619">
        <f t="shared" si="213"/>
        <v>6619.61</v>
      </c>
      <c r="L597" s="649" t="s">
        <v>20</v>
      </c>
      <c r="M597" s="695">
        <f>ROUND(M592*G592,2)</f>
        <v>0</v>
      </c>
      <c r="N597" s="700">
        <v>6619.61</v>
      </c>
      <c r="O597" s="425">
        <f t="shared" si="214"/>
        <v>0</v>
      </c>
      <c r="P597" s="426">
        <f t="shared" si="215"/>
        <v>0</v>
      </c>
      <c r="Q597" s="288"/>
      <c r="S597" s="378" t="str">
        <f t="shared" si="232"/>
        <v/>
      </c>
    </row>
    <row r="598" spans="2:19" hidden="1" x14ac:dyDescent="0.2">
      <c r="B598" s="760" t="s">
        <v>2051</v>
      </c>
      <c r="C598" s="711" t="s">
        <v>207</v>
      </c>
      <c r="D598" s="716" t="s">
        <v>811</v>
      </c>
      <c r="E598" s="717"/>
      <c r="F598" s="658" t="s">
        <v>805</v>
      </c>
      <c r="G598" s="659">
        <v>0.08</v>
      </c>
      <c r="H598" s="660">
        <f>SUM(H599:H602)</f>
        <v>60.880800000000008</v>
      </c>
      <c r="I598" s="656">
        <v>122.81</v>
      </c>
      <c r="J598" s="656">
        <f t="shared" ref="J598" si="247">IF(ISBLANK(I598),"",SUM(H598:I598))</f>
        <v>183.69080000000002</v>
      </c>
      <c r="K598" s="606">
        <f t="shared" si="213"/>
        <v>232.83</v>
      </c>
      <c r="L598" s="648" t="s">
        <v>16</v>
      </c>
      <c r="M598" s="697"/>
      <c r="N598" s="698">
        <v>232.83</v>
      </c>
      <c r="O598" s="423">
        <f t="shared" si="214"/>
        <v>0</v>
      </c>
      <c r="P598" s="424">
        <f t="shared" si="215"/>
        <v>0</v>
      </c>
      <c r="Q598" s="288"/>
      <c r="R598" s="243"/>
      <c r="S598" s="378" t="str">
        <f t="shared" si="232"/>
        <v/>
      </c>
    </row>
    <row r="599" spans="2:19" hidden="1" x14ac:dyDescent="0.2">
      <c r="B599" s="731" t="s">
        <v>168</v>
      </c>
      <c r="C599" s="300"/>
      <c r="D599" s="417" t="s">
        <v>249</v>
      </c>
      <c r="E599" s="704"/>
      <c r="F599" s="661">
        <v>180</v>
      </c>
      <c r="G599" s="665"/>
      <c r="H599" s="663">
        <f t="shared" ref="H599" si="248">IF(F599&lt;=30,(1.05*F599+2.18)*G599,((1.05*30+2.18)+0.87*(F599-30))*G599)</f>
        <v>0</v>
      </c>
      <c r="I599" s="380">
        <v>0</v>
      </c>
      <c r="J599" s="380">
        <f t="shared" ref="J599" si="249">IF(ISBLANK(I599),"",SUM(H599:I599))</f>
        <v>0</v>
      </c>
      <c r="K599" s="593">
        <f t="shared" si="213"/>
        <v>0</v>
      </c>
      <c r="L599" s="594" t="s">
        <v>755</v>
      </c>
      <c r="M599" s="699"/>
      <c r="N599" s="419">
        <v>0</v>
      </c>
      <c r="O599" s="287">
        <f t="shared" si="214"/>
        <v>0</v>
      </c>
      <c r="P599" s="384">
        <f t="shared" si="215"/>
        <v>0</v>
      </c>
      <c r="Q599" s="288"/>
      <c r="R599" s="311" t="str">
        <f>IF(P598&gt;0,"xy","")</f>
        <v/>
      </c>
      <c r="S599" s="378" t="str">
        <f t="shared" si="232"/>
        <v/>
      </c>
    </row>
    <row r="600" spans="2:19" hidden="1" x14ac:dyDescent="0.2">
      <c r="B600" s="731" t="s">
        <v>168</v>
      </c>
      <c r="C600" s="300"/>
      <c r="D600" s="417" t="s">
        <v>250</v>
      </c>
      <c r="E600" s="704"/>
      <c r="F600" s="661">
        <v>500</v>
      </c>
      <c r="G600" s="665"/>
      <c r="H600" s="664">
        <f>IF(F600&lt;=30,(0.51*F600+4.28)*G600,((0.51*30+4.28)+0.42*(F600-30))*G600)</f>
        <v>0</v>
      </c>
      <c r="I600" s="380">
        <v>0</v>
      </c>
      <c r="J600" s="380">
        <f t="shared" ref="J600" si="250">IF(ISBLANK(I600),"",SUM(H600:I600))</f>
        <v>0</v>
      </c>
      <c r="K600" s="593">
        <f t="shared" ref="K600" si="251">IF(ISBLANK(I600),0,ROUND(J600*(1+$F$10)*(1+$F$11*E600),2))</f>
        <v>0</v>
      </c>
      <c r="L600" s="594" t="s">
        <v>755</v>
      </c>
      <c r="M600" s="699"/>
      <c r="N600" s="419">
        <v>0</v>
      </c>
      <c r="O600" s="287">
        <f t="shared" si="214"/>
        <v>0</v>
      </c>
      <c r="P600" s="384">
        <f t="shared" si="215"/>
        <v>0</v>
      </c>
      <c r="Q600" s="288"/>
      <c r="R600" s="311" t="str">
        <f>IF(P598&gt;0,"xy","")</f>
        <v/>
      </c>
      <c r="S600" s="378" t="str">
        <f t="shared" si="232"/>
        <v/>
      </c>
    </row>
    <row r="601" spans="2:19" hidden="1" x14ac:dyDescent="0.2">
      <c r="B601" s="731" t="s">
        <v>168</v>
      </c>
      <c r="C601" s="300"/>
      <c r="D601" s="417" t="s">
        <v>263</v>
      </c>
      <c r="E601" s="704"/>
      <c r="F601" s="661">
        <v>0.2</v>
      </c>
      <c r="G601" s="665">
        <v>2.12</v>
      </c>
      <c r="H601" s="664">
        <f>IF(F601=0,0,IF(F601&lt;=30,(1.05*F601+2.18)*G601,((1.05*30+2.18)+0.87*(F601-30))*G601))</f>
        <v>5.0668000000000006</v>
      </c>
      <c r="I601" s="380">
        <v>0</v>
      </c>
      <c r="J601" s="380"/>
      <c r="K601" s="593">
        <f t="shared" si="213"/>
        <v>0</v>
      </c>
      <c r="L601" s="594" t="s">
        <v>755</v>
      </c>
      <c r="M601" s="699"/>
      <c r="N601" s="419">
        <v>0</v>
      </c>
      <c r="O601" s="287">
        <f t="shared" si="214"/>
        <v>0</v>
      </c>
      <c r="P601" s="384">
        <f t="shared" si="215"/>
        <v>0</v>
      </c>
      <c r="Q601" s="288"/>
      <c r="R601" s="311" t="str">
        <f>IF(P598&gt;0,"xy","")</f>
        <v/>
      </c>
      <c r="S601" s="378" t="str">
        <f t="shared" si="232"/>
        <v/>
      </c>
    </row>
    <row r="602" spans="2:19" hidden="1" x14ac:dyDescent="0.2">
      <c r="B602" s="731" t="s">
        <v>168</v>
      </c>
      <c r="C602" s="300"/>
      <c r="D602" s="417" t="s">
        <v>264</v>
      </c>
      <c r="E602" s="704"/>
      <c r="F602" s="661">
        <v>20</v>
      </c>
      <c r="G602" s="665">
        <f>SUM(G598:G601)</f>
        <v>2.2000000000000002</v>
      </c>
      <c r="H602" s="664">
        <f>IF(F602&lt;=30,(1.05*F602+4.37)*G602,((1.05*30+4.37)+0.87*(F602-30))*G602)</f>
        <v>55.814000000000007</v>
      </c>
      <c r="I602" s="380">
        <v>0</v>
      </c>
      <c r="J602" s="380"/>
      <c r="K602" s="593">
        <f t="shared" si="213"/>
        <v>0</v>
      </c>
      <c r="L602" s="594" t="s">
        <v>755</v>
      </c>
      <c r="M602" s="699"/>
      <c r="N602" s="703">
        <v>0</v>
      </c>
      <c r="O602" s="287">
        <f t="shared" si="214"/>
        <v>0</v>
      </c>
      <c r="P602" s="384">
        <f t="shared" si="215"/>
        <v>0</v>
      </c>
      <c r="Q602" s="288"/>
      <c r="R602" s="311" t="str">
        <f>IF(P598&gt;0,"xy","")</f>
        <v/>
      </c>
      <c r="S602" s="378" t="str">
        <f t="shared" si="232"/>
        <v/>
      </c>
    </row>
    <row r="603" spans="2:19" ht="13.5" hidden="1" thickBot="1" x14ac:dyDescent="0.25">
      <c r="B603" s="761" t="s">
        <v>2052</v>
      </c>
      <c r="C603" s="753" t="s">
        <v>1947</v>
      </c>
      <c r="D603" s="712" t="s">
        <v>998</v>
      </c>
      <c r="E603" s="718"/>
      <c r="F603" s="666">
        <v>500</v>
      </c>
      <c r="G603" s="667">
        <v>1</v>
      </c>
      <c r="H603" s="663">
        <f>(0.74*F603+36.12)*G603</f>
        <v>406.12</v>
      </c>
      <c r="I603" s="657">
        <v>5048.25</v>
      </c>
      <c r="J603" s="657">
        <f>IF(ISBLANK(I603),"",I603*(1+$F$9)/(1+$F$10))+H603</f>
        <v>5222.5686982248517</v>
      </c>
      <c r="K603" s="619">
        <f t="shared" ref="K603:K694" si="252">IF(ISBLANK(I603),0,ROUND(J603*(1+$F$10)*(1+$F$11*E603),2))</f>
        <v>6619.61</v>
      </c>
      <c r="L603" s="649" t="s">
        <v>20</v>
      </c>
      <c r="M603" s="695">
        <f>ROUND(M598*G598,2)</f>
        <v>0</v>
      </c>
      <c r="N603" s="700">
        <v>6619.61</v>
      </c>
      <c r="O603" s="425">
        <f t="shared" si="214"/>
        <v>0</v>
      </c>
      <c r="P603" s="426">
        <f t="shared" si="215"/>
        <v>0</v>
      </c>
      <c r="Q603" s="288"/>
      <c r="S603" s="378" t="str">
        <f t="shared" si="232"/>
        <v/>
      </c>
    </row>
    <row r="604" spans="2:19" hidden="1" x14ac:dyDescent="0.2">
      <c r="B604" s="760" t="s">
        <v>2053</v>
      </c>
      <c r="C604" s="711" t="s">
        <v>207</v>
      </c>
      <c r="D604" s="716" t="s">
        <v>813</v>
      </c>
      <c r="E604" s="717"/>
      <c r="F604" s="658" t="s">
        <v>805</v>
      </c>
      <c r="G604" s="659">
        <v>0.08</v>
      </c>
      <c r="H604" s="660">
        <f>SUM(H605:H608)</f>
        <v>60.880800000000008</v>
      </c>
      <c r="I604" s="656">
        <v>122.81</v>
      </c>
      <c r="J604" s="656">
        <f t="shared" ref="J604" si="253">IF(ISBLANK(I604),"",SUM(H604:I604))</f>
        <v>183.69080000000002</v>
      </c>
      <c r="K604" s="606">
        <f t="shared" si="252"/>
        <v>232.83</v>
      </c>
      <c r="L604" s="648" t="s">
        <v>16</v>
      </c>
      <c r="M604" s="697"/>
      <c r="N604" s="698">
        <v>232.83</v>
      </c>
      <c r="O604" s="423">
        <f t="shared" si="214"/>
        <v>0</v>
      </c>
      <c r="P604" s="424">
        <f t="shared" si="215"/>
        <v>0</v>
      </c>
      <c r="Q604" s="288"/>
      <c r="R604" s="243"/>
      <c r="S604" s="378" t="str">
        <f t="shared" si="232"/>
        <v/>
      </c>
    </row>
    <row r="605" spans="2:19" hidden="1" x14ac:dyDescent="0.2">
      <c r="B605" s="731" t="s">
        <v>168</v>
      </c>
      <c r="C605" s="300"/>
      <c r="D605" s="417" t="s">
        <v>249</v>
      </c>
      <c r="E605" s="704"/>
      <c r="F605" s="661">
        <v>180</v>
      </c>
      <c r="G605" s="665"/>
      <c r="H605" s="663">
        <f t="shared" ref="H605" si="254">IF(F605&lt;=30,(1.05*F605+2.18)*G605,((1.05*30+2.18)+0.87*(F605-30))*G605)</f>
        <v>0</v>
      </c>
      <c r="I605" s="380">
        <v>0</v>
      </c>
      <c r="J605" s="380">
        <f t="shared" ref="J605" si="255">IF(ISBLANK(I605),"",SUM(H605:I605))</f>
        <v>0</v>
      </c>
      <c r="K605" s="593">
        <f t="shared" si="252"/>
        <v>0</v>
      </c>
      <c r="L605" s="594" t="s">
        <v>755</v>
      </c>
      <c r="M605" s="699"/>
      <c r="N605" s="419">
        <v>0</v>
      </c>
      <c r="O605" s="287">
        <f t="shared" si="214"/>
        <v>0</v>
      </c>
      <c r="P605" s="384">
        <f t="shared" si="215"/>
        <v>0</v>
      </c>
      <c r="Q605" s="288"/>
      <c r="R605" s="311" t="str">
        <f>IF(P604&gt;0,"xy","")</f>
        <v/>
      </c>
      <c r="S605" s="378" t="str">
        <f t="shared" si="232"/>
        <v/>
      </c>
    </row>
    <row r="606" spans="2:19" hidden="1" x14ac:dyDescent="0.2">
      <c r="B606" s="731" t="s">
        <v>168</v>
      </c>
      <c r="C606" s="300"/>
      <c r="D606" s="417" t="s">
        <v>250</v>
      </c>
      <c r="E606" s="704"/>
      <c r="F606" s="661">
        <v>500</v>
      </c>
      <c r="G606" s="665"/>
      <c r="H606" s="664">
        <f>IF(F606&lt;=30,(0.51*F606+4.28)*G606,((0.51*30+4.28)+0.42*(F606-30))*G606)</f>
        <v>0</v>
      </c>
      <c r="I606" s="380">
        <v>0</v>
      </c>
      <c r="J606" s="380">
        <f t="shared" ref="J606" si="256">IF(ISBLANK(I606),"",SUM(H606:I606))</f>
        <v>0</v>
      </c>
      <c r="K606" s="593">
        <f t="shared" ref="K606" si="257">IF(ISBLANK(I606),0,ROUND(J606*(1+$F$10)*(1+$F$11*E606),2))</f>
        <v>0</v>
      </c>
      <c r="L606" s="594" t="s">
        <v>755</v>
      </c>
      <c r="M606" s="699"/>
      <c r="N606" s="419">
        <v>0</v>
      </c>
      <c r="O606" s="287">
        <f t="shared" si="214"/>
        <v>0</v>
      </c>
      <c r="P606" s="384">
        <f t="shared" si="215"/>
        <v>0</v>
      </c>
      <c r="Q606" s="288"/>
      <c r="R606" s="311" t="str">
        <f>IF(P604&gt;0,"xy","")</f>
        <v/>
      </c>
      <c r="S606" s="378" t="str">
        <f t="shared" si="232"/>
        <v/>
      </c>
    </row>
    <row r="607" spans="2:19" hidden="1" x14ac:dyDescent="0.2">
      <c r="B607" s="731" t="s">
        <v>168</v>
      </c>
      <c r="C607" s="300"/>
      <c r="D607" s="417" t="s">
        <v>263</v>
      </c>
      <c r="E607" s="704"/>
      <c r="F607" s="661">
        <v>0.2</v>
      </c>
      <c r="G607" s="665">
        <v>2.12</v>
      </c>
      <c r="H607" s="664">
        <f>IF(F607=0,0,IF(F607&lt;=30,(1.05*F607+2.18)*G607,((1.05*30+2.18)+0.87*(F607-30))*G607))</f>
        <v>5.0668000000000006</v>
      </c>
      <c r="I607" s="380">
        <v>0</v>
      </c>
      <c r="J607" s="380"/>
      <c r="K607" s="593">
        <f t="shared" si="252"/>
        <v>0</v>
      </c>
      <c r="L607" s="594" t="s">
        <v>755</v>
      </c>
      <c r="M607" s="699"/>
      <c r="N607" s="419">
        <v>0</v>
      </c>
      <c r="O607" s="287">
        <f t="shared" si="214"/>
        <v>0</v>
      </c>
      <c r="P607" s="384">
        <f t="shared" si="215"/>
        <v>0</v>
      </c>
      <c r="Q607" s="288"/>
      <c r="R607" s="311" t="str">
        <f>IF(P604&gt;0,"xy","")</f>
        <v/>
      </c>
      <c r="S607" s="378" t="str">
        <f t="shared" si="232"/>
        <v/>
      </c>
    </row>
    <row r="608" spans="2:19" hidden="1" x14ac:dyDescent="0.2">
      <c r="B608" s="731" t="s">
        <v>168</v>
      </c>
      <c r="C608" s="300"/>
      <c r="D608" s="417" t="s">
        <v>264</v>
      </c>
      <c r="E608" s="704"/>
      <c r="F608" s="661">
        <v>20</v>
      </c>
      <c r="G608" s="665">
        <f>SUM(G604:G607)</f>
        <v>2.2000000000000002</v>
      </c>
      <c r="H608" s="664">
        <f>IF(F608&lt;=30,(1.05*F608+4.37)*G608,((1.05*30+4.37)+0.87*(F608-30))*G608)</f>
        <v>55.814000000000007</v>
      </c>
      <c r="I608" s="380">
        <v>0</v>
      </c>
      <c r="J608" s="380"/>
      <c r="K608" s="593">
        <f t="shared" si="252"/>
        <v>0</v>
      </c>
      <c r="L608" s="594" t="s">
        <v>755</v>
      </c>
      <c r="M608" s="699"/>
      <c r="N608" s="703">
        <v>0</v>
      </c>
      <c r="O608" s="287">
        <f t="shared" si="214"/>
        <v>0</v>
      </c>
      <c r="P608" s="384">
        <f t="shared" si="215"/>
        <v>0</v>
      </c>
      <c r="Q608" s="288"/>
      <c r="R608" s="311" t="str">
        <f>IF(P604&gt;0,"xy","")</f>
        <v/>
      </c>
      <c r="S608" s="378" t="str">
        <f t="shared" si="232"/>
        <v/>
      </c>
    </row>
    <row r="609" spans="2:19" ht="13.5" hidden="1" thickBot="1" x14ac:dyDescent="0.25">
      <c r="B609" s="761" t="s">
        <v>2054</v>
      </c>
      <c r="C609" s="753" t="s">
        <v>1947</v>
      </c>
      <c r="D609" s="712" t="s">
        <v>998</v>
      </c>
      <c r="E609" s="718"/>
      <c r="F609" s="666">
        <v>500</v>
      </c>
      <c r="G609" s="667">
        <v>1</v>
      </c>
      <c r="H609" s="663">
        <f>(0.74*F609+36.12)*G609</f>
        <v>406.12</v>
      </c>
      <c r="I609" s="657">
        <v>5048.25</v>
      </c>
      <c r="J609" s="657">
        <f>IF(ISBLANK(I609),"",I609*(1+$F$9)/(1+$F$10))+H609</f>
        <v>5222.5686982248517</v>
      </c>
      <c r="K609" s="619">
        <f t="shared" si="252"/>
        <v>6619.61</v>
      </c>
      <c r="L609" s="649" t="s">
        <v>20</v>
      </c>
      <c r="M609" s="695">
        <f>ROUND(M604*G604,2)</f>
        <v>0</v>
      </c>
      <c r="N609" s="700">
        <v>6619.61</v>
      </c>
      <c r="O609" s="425">
        <f t="shared" si="214"/>
        <v>0</v>
      </c>
      <c r="P609" s="426">
        <f t="shared" si="215"/>
        <v>0</v>
      </c>
      <c r="Q609" s="288"/>
      <c r="S609" s="378" t="str">
        <f t="shared" si="232"/>
        <v/>
      </c>
    </row>
    <row r="610" spans="2:19" hidden="1" x14ac:dyDescent="0.2">
      <c r="B610" s="760" t="s">
        <v>2055</v>
      </c>
      <c r="C610" s="711" t="s">
        <v>207</v>
      </c>
      <c r="D610" s="716" t="s">
        <v>1973</v>
      </c>
      <c r="E610" s="717"/>
      <c r="F610" s="658" t="s">
        <v>805</v>
      </c>
      <c r="G610" s="659">
        <v>0.11</v>
      </c>
      <c r="H610" s="660">
        <f>SUM(H611:H614)</f>
        <v>60.809099999999994</v>
      </c>
      <c r="I610" s="656">
        <v>121.5</v>
      </c>
      <c r="J610" s="656">
        <f t="shared" ref="J610" si="258">IF(ISBLANK(I610),"",SUM(H610:I610))</f>
        <v>182.3091</v>
      </c>
      <c r="K610" s="606">
        <f t="shared" si="252"/>
        <v>231.08</v>
      </c>
      <c r="L610" s="648" t="s">
        <v>16</v>
      </c>
      <c r="M610" s="697"/>
      <c r="N610" s="698">
        <v>231.08</v>
      </c>
      <c r="O610" s="423">
        <f t="shared" si="214"/>
        <v>0</v>
      </c>
      <c r="P610" s="424">
        <f t="shared" si="215"/>
        <v>0</v>
      </c>
      <c r="Q610" s="288"/>
      <c r="R610" s="243"/>
      <c r="S610" s="378" t="str">
        <f t="shared" si="232"/>
        <v/>
      </c>
    </row>
    <row r="611" spans="2:19" hidden="1" x14ac:dyDescent="0.2">
      <c r="B611" s="731" t="s">
        <v>168</v>
      </c>
      <c r="C611" s="300"/>
      <c r="D611" s="417" t="s">
        <v>249</v>
      </c>
      <c r="E611" s="704"/>
      <c r="F611" s="661">
        <v>180</v>
      </c>
      <c r="G611" s="665"/>
      <c r="H611" s="663">
        <f t="shared" ref="H611" si="259">IF(F611&lt;=30,(1.05*F611+2.18)*G611,((1.05*30+2.18)+0.87*(F611-30))*G611)</f>
        <v>0</v>
      </c>
      <c r="I611" s="380">
        <v>0</v>
      </c>
      <c r="J611" s="380"/>
      <c r="K611" s="593">
        <f t="shared" si="252"/>
        <v>0</v>
      </c>
      <c r="L611" s="594" t="s">
        <v>755</v>
      </c>
      <c r="M611" s="699"/>
      <c r="N611" s="419">
        <v>0</v>
      </c>
      <c r="O611" s="287">
        <f t="shared" si="214"/>
        <v>0</v>
      </c>
      <c r="P611" s="384">
        <f t="shared" si="215"/>
        <v>0</v>
      </c>
      <c r="Q611" s="288"/>
      <c r="R611" s="311" t="str">
        <f>IF(P610&gt;0,"xy","")</f>
        <v/>
      </c>
      <c r="S611" s="378" t="str">
        <f t="shared" si="232"/>
        <v/>
      </c>
    </row>
    <row r="612" spans="2:19" hidden="1" x14ac:dyDescent="0.2">
      <c r="B612" s="731" t="s">
        <v>168</v>
      </c>
      <c r="C612" s="300"/>
      <c r="D612" s="417" t="s">
        <v>250</v>
      </c>
      <c r="E612" s="704"/>
      <c r="F612" s="661">
        <v>500</v>
      </c>
      <c r="G612" s="665"/>
      <c r="H612" s="664">
        <f>IF(F612&lt;=30,(0.51*F612+4.28)*G612,((0.51*30+4.28)+0.42*(F612-30))*G612)</f>
        <v>0</v>
      </c>
      <c r="I612" s="380">
        <v>0</v>
      </c>
      <c r="J612" s="380">
        <f t="shared" ref="J612" si="260">IF(ISBLANK(I612),"",SUM(H612:I612))</f>
        <v>0</v>
      </c>
      <c r="K612" s="593">
        <f t="shared" si="252"/>
        <v>0</v>
      </c>
      <c r="L612" s="594" t="s">
        <v>755</v>
      </c>
      <c r="M612" s="699"/>
      <c r="N612" s="419">
        <v>0</v>
      </c>
      <c r="O612" s="287">
        <f t="shared" si="214"/>
        <v>0</v>
      </c>
      <c r="P612" s="384">
        <f t="shared" si="215"/>
        <v>0</v>
      </c>
      <c r="Q612" s="288"/>
      <c r="R612" s="311" t="str">
        <f>IF(P610&gt;0,"xy","")</f>
        <v/>
      </c>
      <c r="S612" s="378" t="str">
        <f t="shared" si="232"/>
        <v/>
      </c>
    </row>
    <row r="613" spans="2:19" hidden="1" x14ac:dyDescent="0.2">
      <c r="B613" s="731" t="s">
        <v>168</v>
      </c>
      <c r="C613" s="300"/>
      <c r="D613" s="417" t="s">
        <v>263</v>
      </c>
      <c r="E613" s="704"/>
      <c r="F613" s="661">
        <v>0.2</v>
      </c>
      <c r="G613" s="665">
        <v>2.09</v>
      </c>
      <c r="H613" s="664">
        <f>IF(F613=0,0,IF(F613&lt;=30,(1.05*F613+2.18)*G613,((1.05*30+2.18)+0.87*(F613-30))*G613))</f>
        <v>4.9950999999999999</v>
      </c>
      <c r="I613" s="380">
        <v>0</v>
      </c>
      <c r="J613" s="380"/>
      <c r="K613" s="593">
        <f t="shared" si="252"/>
        <v>0</v>
      </c>
      <c r="L613" s="594" t="s">
        <v>755</v>
      </c>
      <c r="M613" s="699"/>
      <c r="N613" s="419">
        <v>0</v>
      </c>
      <c r="O613" s="287">
        <f t="shared" si="214"/>
        <v>0</v>
      </c>
      <c r="P613" s="384">
        <f t="shared" si="215"/>
        <v>0</v>
      </c>
      <c r="Q613" s="288"/>
      <c r="R613" s="311" t="str">
        <f>IF(P610&gt;0,"xy","")</f>
        <v/>
      </c>
      <c r="S613" s="378" t="str">
        <f t="shared" si="232"/>
        <v/>
      </c>
    </row>
    <row r="614" spans="2:19" hidden="1" x14ac:dyDescent="0.2">
      <c r="B614" s="731" t="s">
        <v>168</v>
      </c>
      <c r="C614" s="300"/>
      <c r="D614" s="417" t="s">
        <v>264</v>
      </c>
      <c r="E614" s="704"/>
      <c r="F614" s="661">
        <v>20</v>
      </c>
      <c r="G614" s="665">
        <f>SUM(G610:G613)</f>
        <v>2.1999999999999997</v>
      </c>
      <c r="H614" s="664">
        <f>IF(F614&lt;=30,(1.05*F614+4.37)*G614,((1.05*30+4.37)+0.87*(F614-30))*G614)</f>
        <v>55.813999999999993</v>
      </c>
      <c r="I614" s="380">
        <v>0</v>
      </c>
      <c r="J614" s="380"/>
      <c r="K614" s="593">
        <f t="shared" si="252"/>
        <v>0</v>
      </c>
      <c r="L614" s="594" t="s">
        <v>755</v>
      </c>
      <c r="M614" s="699"/>
      <c r="N614" s="703">
        <v>0</v>
      </c>
      <c r="O614" s="287">
        <f t="shared" si="214"/>
        <v>0</v>
      </c>
      <c r="P614" s="384">
        <f t="shared" si="215"/>
        <v>0</v>
      </c>
      <c r="Q614" s="288"/>
      <c r="R614" s="243" t="str">
        <f>IF(P610&gt;0,"xy","")</f>
        <v/>
      </c>
      <c r="S614" s="378" t="str">
        <f t="shared" si="232"/>
        <v/>
      </c>
    </row>
    <row r="615" spans="2:19" ht="13.5" hidden="1" thickBot="1" x14ac:dyDescent="0.25">
      <c r="B615" s="761" t="s">
        <v>2056</v>
      </c>
      <c r="C615" s="753" t="s">
        <v>1947</v>
      </c>
      <c r="D615" s="712" t="s">
        <v>999</v>
      </c>
      <c r="E615" s="718"/>
      <c r="F615" s="666">
        <v>500</v>
      </c>
      <c r="G615" s="667">
        <v>1</v>
      </c>
      <c r="H615" s="663">
        <f>(0.74*F615+36.12)*G615</f>
        <v>406.12</v>
      </c>
      <c r="I615" s="657">
        <v>5048.25</v>
      </c>
      <c r="J615" s="657">
        <f>IF(ISBLANK(I615),"",I615*(1+$F$9)/(1+$F$10))+H615</f>
        <v>5222.5686982248517</v>
      </c>
      <c r="K615" s="619">
        <f t="shared" si="252"/>
        <v>6619.61</v>
      </c>
      <c r="L615" s="649" t="s">
        <v>20</v>
      </c>
      <c r="M615" s="695">
        <f>ROUND(M610*G610,2)</f>
        <v>0</v>
      </c>
      <c r="N615" s="700">
        <v>6619.61</v>
      </c>
      <c r="O615" s="425">
        <f t="shared" si="214"/>
        <v>0</v>
      </c>
      <c r="P615" s="426">
        <f t="shared" si="215"/>
        <v>0</v>
      </c>
      <c r="Q615" s="288"/>
      <c r="R615" s="311" t="str">
        <f>IF(P426&gt;0,"xy","")</f>
        <v/>
      </c>
      <c r="S615" s="378" t="str">
        <f t="shared" si="232"/>
        <v/>
      </c>
    </row>
    <row r="616" spans="2:19" hidden="1" x14ac:dyDescent="0.2">
      <c r="B616" s="760" t="s">
        <v>2057</v>
      </c>
      <c r="C616" s="711" t="s">
        <v>207</v>
      </c>
      <c r="D616" s="716" t="s">
        <v>1975</v>
      </c>
      <c r="E616" s="717"/>
      <c r="F616" s="658" t="s">
        <v>805</v>
      </c>
      <c r="G616" s="659">
        <v>0.11</v>
      </c>
      <c r="H616" s="660">
        <f>SUM(H617:H620)</f>
        <v>60.809099999999994</v>
      </c>
      <c r="I616" s="656">
        <v>121.5</v>
      </c>
      <c r="J616" s="656">
        <f t="shared" ref="J616" si="261">IF(ISBLANK(I616),"",SUM(H616:I616))</f>
        <v>182.3091</v>
      </c>
      <c r="K616" s="606">
        <f t="shared" si="252"/>
        <v>231.08</v>
      </c>
      <c r="L616" s="648" t="s">
        <v>16</v>
      </c>
      <c r="M616" s="697"/>
      <c r="N616" s="698">
        <v>231.08</v>
      </c>
      <c r="O616" s="423">
        <f t="shared" si="214"/>
        <v>0</v>
      </c>
      <c r="P616" s="424">
        <f t="shared" si="215"/>
        <v>0</v>
      </c>
      <c r="Q616" s="288"/>
      <c r="R616" s="243"/>
      <c r="S616" s="378" t="str">
        <f t="shared" si="232"/>
        <v/>
      </c>
    </row>
    <row r="617" spans="2:19" hidden="1" x14ac:dyDescent="0.2">
      <c r="B617" s="731" t="s">
        <v>168</v>
      </c>
      <c r="C617" s="300"/>
      <c r="D617" s="417" t="s">
        <v>249</v>
      </c>
      <c r="E617" s="704"/>
      <c r="F617" s="661">
        <v>180</v>
      </c>
      <c r="G617" s="665"/>
      <c r="H617" s="663">
        <f t="shared" ref="H617" si="262">IF(F617&lt;=30,(1.05*F617+2.18)*G617,((1.05*30+2.18)+0.87*(F617-30))*G617)</f>
        <v>0</v>
      </c>
      <c r="I617" s="380">
        <v>0</v>
      </c>
      <c r="J617" s="380"/>
      <c r="K617" s="593">
        <f t="shared" si="252"/>
        <v>0</v>
      </c>
      <c r="L617" s="594" t="s">
        <v>755</v>
      </c>
      <c r="M617" s="699"/>
      <c r="N617" s="419">
        <v>0</v>
      </c>
      <c r="O617" s="287">
        <f t="shared" si="214"/>
        <v>0</v>
      </c>
      <c r="P617" s="384">
        <f t="shared" si="215"/>
        <v>0</v>
      </c>
      <c r="Q617" s="288"/>
      <c r="R617" s="311" t="str">
        <f>IF(P616&gt;0,"xy","")</f>
        <v/>
      </c>
      <c r="S617" s="378" t="str">
        <f t="shared" si="232"/>
        <v/>
      </c>
    </row>
    <row r="618" spans="2:19" hidden="1" x14ac:dyDescent="0.2">
      <c r="B618" s="731" t="s">
        <v>168</v>
      </c>
      <c r="C618" s="300"/>
      <c r="D618" s="417" t="s">
        <v>250</v>
      </c>
      <c r="E618" s="704"/>
      <c r="F618" s="661">
        <v>500</v>
      </c>
      <c r="G618" s="665"/>
      <c r="H618" s="664">
        <f>IF(F618&lt;=30,(0.51*F618+4.28)*G618,((0.51*30+4.28)+0.42*(F618-30))*G618)</f>
        <v>0</v>
      </c>
      <c r="I618" s="380">
        <v>0</v>
      </c>
      <c r="J618" s="380">
        <f t="shared" ref="J618" si="263">IF(ISBLANK(I618),"",SUM(H618:I618))</f>
        <v>0</v>
      </c>
      <c r="K618" s="593">
        <f t="shared" si="252"/>
        <v>0</v>
      </c>
      <c r="L618" s="594" t="s">
        <v>755</v>
      </c>
      <c r="M618" s="699"/>
      <c r="N618" s="419">
        <v>0</v>
      </c>
      <c r="O618" s="287">
        <f t="shared" si="214"/>
        <v>0</v>
      </c>
      <c r="P618" s="384">
        <f t="shared" si="215"/>
        <v>0</v>
      </c>
      <c r="Q618" s="288"/>
      <c r="R618" s="311" t="str">
        <f>IF(P616&gt;0,"xy","")</f>
        <v/>
      </c>
      <c r="S618" s="378" t="str">
        <f t="shared" si="232"/>
        <v/>
      </c>
    </row>
    <row r="619" spans="2:19" hidden="1" x14ac:dyDescent="0.2">
      <c r="B619" s="731" t="s">
        <v>168</v>
      </c>
      <c r="C619" s="300"/>
      <c r="D619" s="417" t="s">
        <v>263</v>
      </c>
      <c r="E619" s="704"/>
      <c r="F619" s="661">
        <v>0.2</v>
      </c>
      <c r="G619" s="665">
        <v>2.09</v>
      </c>
      <c r="H619" s="664">
        <f>IF(F619=0,0,IF(F619&lt;=30,(1.05*F619+2.18)*G619,((1.05*30+2.18)+0.87*(F619-30))*G619))</f>
        <v>4.9950999999999999</v>
      </c>
      <c r="I619" s="380">
        <v>0</v>
      </c>
      <c r="J619" s="380"/>
      <c r="K619" s="593">
        <f t="shared" si="252"/>
        <v>0</v>
      </c>
      <c r="L619" s="594" t="s">
        <v>755</v>
      </c>
      <c r="M619" s="699"/>
      <c r="N619" s="419">
        <v>0</v>
      </c>
      <c r="O619" s="287">
        <f t="shared" si="214"/>
        <v>0</v>
      </c>
      <c r="P619" s="384">
        <f t="shared" si="215"/>
        <v>0</v>
      </c>
      <c r="Q619" s="288"/>
      <c r="R619" s="311" t="str">
        <f>IF(P616&gt;0,"xy","")</f>
        <v/>
      </c>
      <c r="S619" s="378" t="str">
        <f t="shared" si="232"/>
        <v/>
      </c>
    </row>
    <row r="620" spans="2:19" hidden="1" x14ac:dyDescent="0.2">
      <c r="B620" s="731" t="s">
        <v>168</v>
      </c>
      <c r="C620" s="300"/>
      <c r="D620" s="417" t="s">
        <v>264</v>
      </c>
      <c r="E620" s="704"/>
      <c r="F620" s="661">
        <v>20</v>
      </c>
      <c r="G620" s="665">
        <f>SUM(G616:G619)</f>
        <v>2.1999999999999997</v>
      </c>
      <c r="H620" s="664">
        <f>IF(F620&lt;=30,(1.05*F620+4.37)*G620,((1.05*30+4.37)+0.87*(F620-30))*G620)</f>
        <v>55.813999999999993</v>
      </c>
      <c r="I620" s="380">
        <v>0</v>
      </c>
      <c r="J620" s="380"/>
      <c r="K620" s="593">
        <f t="shared" si="252"/>
        <v>0</v>
      </c>
      <c r="L620" s="594" t="s">
        <v>755</v>
      </c>
      <c r="M620" s="699"/>
      <c r="N620" s="703">
        <v>0</v>
      </c>
      <c r="O620" s="287">
        <f t="shared" si="214"/>
        <v>0</v>
      </c>
      <c r="P620" s="384">
        <f t="shared" si="215"/>
        <v>0</v>
      </c>
      <c r="Q620" s="288"/>
      <c r="R620" s="243" t="str">
        <f>IF(P616&gt;0,"xy","")</f>
        <v/>
      </c>
      <c r="S620" s="378" t="str">
        <f t="shared" si="232"/>
        <v/>
      </c>
    </row>
    <row r="621" spans="2:19" ht="13.5" hidden="1" thickBot="1" x14ac:dyDescent="0.25">
      <c r="B621" s="761" t="s">
        <v>2058</v>
      </c>
      <c r="C621" s="753" t="s">
        <v>1947</v>
      </c>
      <c r="D621" s="712" t="s">
        <v>999</v>
      </c>
      <c r="E621" s="718"/>
      <c r="F621" s="666">
        <v>500</v>
      </c>
      <c r="G621" s="667">
        <v>1</v>
      </c>
      <c r="H621" s="663">
        <f>(0.74*F621+36.12)*G621</f>
        <v>406.12</v>
      </c>
      <c r="I621" s="657">
        <v>5048.25</v>
      </c>
      <c r="J621" s="657">
        <f>IF(ISBLANK(I621),"",I621*(1+$F$9)/(1+$F$10))+H621</f>
        <v>5222.5686982248517</v>
      </c>
      <c r="K621" s="619">
        <f t="shared" si="252"/>
        <v>6619.61</v>
      </c>
      <c r="L621" s="649" t="s">
        <v>20</v>
      </c>
      <c r="M621" s="695">
        <f>ROUND(M616*G616,2)</f>
        <v>0</v>
      </c>
      <c r="N621" s="700">
        <v>6619.61</v>
      </c>
      <c r="O621" s="425">
        <f t="shared" si="214"/>
        <v>0</v>
      </c>
      <c r="P621" s="426">
        <f t="shared" si="215"/>
        <v>0</v>
      </c>
      <c r="Q621" s="288"/>
      <c r="R621" s="311" t="str">
        <f>IF(P432&gt;0,"xy","")</f>
        <v/>
      </c>
      <c r="S621" s="378" t="str">
        <f t="shared" si="232"/>
        <v/>
      </c>
    </row>
    <row r="622" spans="2:19" hidden="1" x14ac:dyDescent="0.2">
      <c r="B622" s="760" t="s">
        <v>2059</v>
      </c>
      <c r="C622" s="711" t="s">
        <v>207</v>
      </c>
      <c r="D622" s="716" t="s">
        <v>814</v>
      </c>
      <c r="E622" s="717"/>
      <c r="F622" s="658" t="s">
        <v>805</v>
      </c>
      <c r="G622" s="659">
        <v>0.14000000000000001</v>
      </c>
      <c r="H622" s="660">
        <f>SUM(H623:H626)</f>
        <v>107.19669999999999</v>
      </c>
      <c r="I622" s="656">
        <v>121.5</v>
      </c>
      <c r="J622" s="656">
        <f t="shared" ref="J622" si="264">IF(ISBLANK(I622),"",SUM(H622:I622))</f>
        <v>228.69669999999999</v>
      </c>
      <c r="K622" s="606">
        <f t="shared" si="252"/>
        <v>289.87</v>
      </c>
      <c r="L622" s="648" t="s">
        <v>16</v>
      </c>
      <c r="M622" s="697"/>
      <c r="N622" s="698">
        <v>289.87</v>
      </c>
      <c r="O622" s="423">
        <f t="shared" si="214"/>
        <v>0</v>
      </c>
      <c r="P622" s="424">
        <f t="shared" si="215"/>
        <v>0</v>
      </c>
      <c r="Q622" s="288"/>
      <c r="R622" s="243"/>
      <c r="S622" s="378" t="str">
        <f t="shared" si="232"/>
        <v/>
      </c>
    </row>
    <row r="623" spans="2:19" hidden="1" x14ac:dyDescent="0.2">
      <c r="B623" s="731" t="s">
        <v>168</v>
      </c>
      <c r="C623" s="300"/>
      <c r="D623" s="417" t="s">
        <v>249</v>
      </c>
      <c r="E623" s="704"/>
      <c r="F623" s="661">
        <v>180</v>
      </c>
      <c r="G623" s="665">
        <v>0.27</v>
      </c>
      <c r="H623" s="663">
        <f t="shared" ref="H623" si="265">IF(F623&lt;=30,(1.05*F623+2.18)*G623,((1.05*30+2.18)+0.87*(F623-30))*G623)</f>
        <v>44.328600000000002</v>
      </c>
      <c r="I623" s="380">
        <v>0</v>
      </c>
      <c r="J623" s="380"/>
      <c r="K623" s="593">
        <f t="shared" si="252"/>
        <v>0</v>
      </c>
      <c r="L623" s="594" t="s">
        <v>755</v>
      </c>
      <c r="M623" s="699"/>
      <c r="N623" s="419">
        <v>0</v>
      </c>
      <c r="O623" s="287">
        <f t="shared" si="214"/>
        <v>0</v>
      </c>
      <c r="P623" s="384">
        <f t="shared" si="215"/>
        <v>0</v>
      </c>
      <c r="Q623" s="288"/>
      <c r="R623" s="311" t="str">
        <f>IF(P622&gt;0,"xy","")</f>
        <v/>
      </c>
      <c r="S623" s="378" t="str">
        <f t="shared" si="232"/>
        <v/>
      </c>
    </row>
    <row r="624" spans="2:19" hidden="1" x14ac:dyDescent="0.2">
      <c r="B624" s="731" t="s">
        <v>168</v>
      </c>
      <c r="C624" s="300"/>
      <c r="D624" s="417" t="s">
        <v>250</v>
      </c>
      <c r="E624" s="704"/>
      <c r="F624" s="661">
        <v>500</v>
      </c>
      <c r="G624" s="665"/>
      <c r="H624" s="664">
        <f>IF(F624&lt;=30,(0.51*F624+4.28)*G624,((0.51*30+4.28)+0.42*(F624-30))*G624)</f>
        <v>0</v>
      </c>
      <c r="I624" s="380">
        <v>0</v>
      </c>
      <c r="J624" s="380">
        <f t="shared" ref="J624" si="266">IF(ISBLANK(I624),"",SUM(H624:I624))</f>
        <v>0</v>
      </c>
      <c r="K624" s="593">
        <f t="shared" ref="K624" si="267">IF(ISBLANK(I624),0,ROUND(J624*(1+$F$10)*(1+$F$11*E624),2))</f>
        <v>0</v>
      </c>
      <c r="L624" s="594" t="s">
        <v>755</v>
      </c>
      <c r="M624" s="699"/>
      <c r="N624" s="419">
        <v>0</v>
      </c>
      <c r="O624" s="287">
        <f t="shared" si="214"/>
        <v>0</v>
      </c>
      <c r="P624" s="384">
        <f t="shared" si="215"/>
        <v>0</v>
      </c>
      <c r="Q624" s="288"/>
      <c r="R624" s="311" t="str">
        <f>IF(P622&gt;0,"xy","")</f>
        <v/>
      </c>
      <c r="S624" s="378" t="str">
        <f t="shared" si="232"/>
        <v/>
      </c>
    </row>
    <row r="625" spans="2:19" hidden="1" x14ac:dyDescent="0.2">
      <c r="B625" s="731" t="s">
        <v>168</v>
      </c>
      <c r="C625" s="300"/>
      <c r="D625" s="417" t="s">
        <v>263</v>
      </c>
      <c r="E625" s="704"/>
      <c r="F625" s="661">
        <v>0.2</v>
      </c>
      <c r="G625" s="665">
        <v>1.89</v>
      </c>
      <c r="H625" s="664">
        <f>IF(F625=0,0,IF(F625&lt;=30,(1.05*F625+2.18)*G625,((1.05*30+2.18)+0.87*(F625-30))*G625))</f>
        <v>4.5171000000000001</v>
      </c>
      <c r="I625" s="380">
        <v>0</v>
      </c>
      <c r="J625" s="380"/>
      <c r="K625" s="593">
        <f t="shared" si="252"/>
        <v>0</v>
      </c>
      <c r="L625" s="594" t="s">
        <v>755</v>
      </c>
      <c r="M625" s="699"/>
      <c r="N625" s="419">
        <v>0</v>
      </c>
      <c r="O625" s="287">
        <f t="shared" si="214"/>
        <v>0</v>
      </c>
      <c r="P625" s="384">
        <f t="shared" si="215"/>
        <v>0</v>
      </c>
      <c r="Q625" s="288"/>
      <c r="R625" s="311" t="str">
        <f>IF(P622&gt;0,"xy","")</f>
        <v/>
      </c>
      <c r="S625" s="378" t="str">
        <f t="shared" si="232"/>
        <v/>
      </c>
    </row>
    <row r="626" spans="2:19" hidden="1" x14ac:dyDescent="0.2">
      <c r="B626" s="731" t="s">
        <v>168</v>
      </c>
      <c r="C626" s="300"/>
      <c r="D626" s="417" t="s">
        <v>264</v>
      </c>
      <c r="E626" s="704"/>
      <c r="F626" s="661">
        <v>20</v>
      </c>
      <c r="G626" s="665">
        <f>SUM(G622:G625)</f>
        <v>2.2999999999999998</v>
      </c>
      <c r="H626" s="664">
        <f>IF(F626&lt;=30,(1.05*F626+4.37)*G626,((1.05*30+4.37)+0.87*(F626-30))*G626)</f>
        <v>58.350999999999999</v>
      </c>
      <c r="I626" s="380">
        <v>0</v>
      </c>
      <c r="J626" s="380"/>
      <c r="K626" s="593">
        <f t="shared" si="252"/>
        <v>0</v>
      </c>
      <c r="L626" s="594" t="s">
        <v>755</v>
      </c>
      <c r="M626" s="699"/>
      <c r="N626" s="703">
        <v>0</v>
      </c>
      <c r="O626" s="287">
        <f t="shared" si="214"/>
        <v>0</v>
      </c>
      <c r="P626" s="384">
        <f t="shared" si="215"/>
        <v>0</v>
      </c>
      <c r="Q626" s="288"/>
      <c r="R626" s="311" t="str">
        <f>IF(P622&gt;0,"xy","")</f>
        <v/>
      </c>
      <c r="S626" s="378" t="str">
        <f t="shared" si="232"/>
        <v/>
      </c>
    </row>
    <row r="627" spans="2:19" ht="13.5" hidden="1" thickBot="1" x14ac:dyDescent="0.25">
      <c r="B627" s="761" t="s">
        <v>2060</v>
      </c>
      <c r="C627" s="753" t="s">
        <v>1947</v>
      </c>
      <c r="D627" s="712" t="s">
        <v>999</v>
      </c>
      <c r="E627" s="718"/>
      <c r="F627" s="666">
        <v>500</v>
      </c>
      <c r="G627" s="667">
        <v>1</v>
      </c>
      <c r="H627" s="663">
        <f>(0.74*F627+36.12)*G627</f>
        <v>406.12</v>
      </c>
      <c r="I627" s="657">
        <v>5048.25</v>
      </c>
      <c r="J627" s="657">
        <f>IF(ISBLANK(I627),"",I627*(1+$F$9)/(1+$F$10))+H627</f>
        <v>5222.5686982248517</v>
      </c>
      <c r="K627" s="619">
        <f t="shared" si="252"/>
        <v>6619.61</v>
      </c>
      <c r="L627" s="649" t="s">
        <v>20</v>
      </c>
      <c r="M627" s="695">
        <f>ROUND(M622*G622,2)</f>
        <v>0</v>
      </c>
      <c r="N627" s="700">
        <v>6619.61</v>
      </c>
      <c r="O627" s="425">
        <f t="shared" si="214"/>
        <v>0</v>
      </c>
      <c r="P627" s="426">
        <f t="shared" si="215"/>
        <v>0</v>
      </c>
      <c r="Q627" s="288"/>
      <c r="S627" s="378" t="str">
        <f t="shared" si="232"/>
        <v/>
      </c>
    </row>
    <row r="628" spans="2:19" hidden="1" x14ac:dyDescent="0.2">
      <c r="B628" s="760" t="s">
        <v>2061</v>
      </c>
      <c r="C628" s="711" t="s">
        <v>207</v>
      </c>
      <c r="D628" s="716" t="s">
        <v>815</v>
      </c>
      <c r="E628" s="717"/>
      <c r="F628" s="658" t="s">
        <v>805</v>
      </c>
      <c r="G628" s="659">
        <v>0.14000000000000001</v>
      </c>
      <c r="H628" s="660">
        <f>SUM(H629:H632)</f>
        <v>107.19669999999999</v>
      </c>
      <c r="I628" s="656">
        <v>121.5</v>
      </c>
      <c r="J628" s="656">
        <f t="shared" ref="J628" si="268">IF(ISBLANK(I628),"",SUM(H628:I628))</f>
        <v>228.69669999999999</v>
      </c>
      <c r="K628" s="606">
        <f t="shared" si="252"/>
        <v>289.87</v>
      </c>
      <c r="L628" s="648" t="s">
        <v>16</v>
      </c>
      <c r="M628" s="697"/>
      <c r="N628" s="698">
        <v>289.87</v>
      </c>
      <c r="O628" s="423">
        <f t="shared" si="214"/>
        <v>0</v>
      </c>
      <c r="P628" s="424">
        <f t="shared" si="215"/>
        <v>0</v>
      </c>
      <c r="Q628" s="288"/>
      <c r="R628" s="243"/>
      <c r="S628" s="378" t="str">
        <f t="shared" si="232"/>
        <v/>
      </c>
    </row>
    <row r="629" spans="2:19" hidden="1" x14ac:dyDescent="0.2">
      <c r="B629" s="731" t="s">
        <v>168</v>
      </c>
      <c r="C629" s="300"/>
      <c r="D629" s="417" t="s">
        <v>249</v>
      </c>
      <c r="E629" s="704"/>
      <c r="F629" s="661">
        <v>180</v>
      </c>
      <c r="G629" s="665">
        <v>0.27</v>
      </c>
      <c r="H629" s="663">
        <f t="shared" ref="H629" si="269">IF(F629&lt;=30,(1.05*F629+2.18)*G629,((1.05*30+2.18)+0.87*(F629-30))*G629)</f>
        <v>44.328600000000002</v>
      </c>
      <c r="I629" s="380">
        <v>0</v>
      </c>
      <c r="J629" s="380"/>
      <c r="K629" s="593">
        <f t="shared" si="252"/>
        <v>0</v>
      </c>
      <c r="L629" s="594" t="s">
        <v>755</v>
      </c>
      <c r="M629" s="699"/>
      <c r="N629" s="419">
        <v>0</v>
      </c>
      <c r="O629" s="287">
        <f t="shared" si="214"/>
        <v>0</v>
      </c>
      <c r="P629" s="384">
        <f t="shared" si="215"/>
        <v>0</v>
      </c>
      <c r="Q629" s="288"/>
      <c r="R629" s="311" t="str">
        <f>IF(P628&gt;0,"xy","")</f>
        <v/>
      </c>
      <c r="S629" s="378" t="str">
        <f t="shared" si="232"/>
        <v/>
      </c>
    </row>
    <row r="630" spans="2:19" hidden="1" x14ac:dyDescent="0.2">
      <c r="B630" s="731" t="s">
        <v>168</v>
      </c>
      <c r="C630" s="300"/>
      <c r="D630" s="417" t="s">
        <v>250</v>
      </c>
      <c r="E630" s="704"/>
      <c r="F630" s="661">
        <v>500</v>
      </c>
      <c r="G630" s="665"/>
      <c r="H630" s="664">
        <f>IF(F630&lt;=30,(0.51*F630+4.28)*G630,((0.51*30+4.28)+0.42*(F630-30))*G630)</f>
        <v>0</v>
      </c>
      <c r="I630" s="380">
        <v>0</v>
      </c>
      <c r="J630" s="380">
        <f t="shared" ref="J630" si="270">IF(ISBLANK(I630),"",SUM(H630:I630))</f>
        <v>0</v>
      </c>
      <c r="K630" s="593">
        <f t="shared" ref="K630" si="271">IF(ISBLANK(I630),0,ROUND(J630*(1+$F$10)*(1+$F$11*E630),2))</f>
        <v>0</v>
      </c>
      <c r="L630" s="594" t="s">
        <v>755</v>
      </c>
      <c r="M630" s="699"/>
      <c r="N630" s="419">
        <v>0</v>
      </c>
      <c r="O630" s="287">
        <f t="shared" si="214"/>
        <v>0</v>
      </c>
      <c r="P630" s="384">
        <f t="shared" si="215"/>
        <v>0</v>
      </c>
      <c r="Q630" s="288"/>
      <c r="R630" s="311" t="str">
        <f>IF(P628&gt;0,"xy","")</f>
        <v/>
      </c>
      <c r="S630" s="378" t="str">
        <f t="shared" si="232"/>
        <v/>
      </c>
    </row>
    <row r="631" spans="2:19" hidden="1" x14ac:dyDescent="0.2">
      <c r="B631" s="731" t="s">
        <v>168</v>
      </c>
      <c r="C631" s="300"/>
      <c r="D631" s="417" t="s">
        <v>263</v>
      </c>
      <c r="E631" s="704"/>
      <c r="F631" s="661">
        <v>0.2</v>
      </c>
      <c r="G631" s="665">
        <v>1.89</v>
      </c>
      <c r="H631" s="664">
        <f>IF(F631=0,0,IF(F631&lt;=30,(1.05*F631+2.18)*G631,((1.05*30+2.18)+0.87*(F631-30))*G631))</f>
        <v>4.5171000000000001</v>
      </c>
      <c r="I631" s="380">
        <v>0</v>
      </c>
      <c r="J631" s="380"/>
      <c r="K631" s="593">
        <f t="shared" si="252"/>
        <v>0</v>
      </c>
      <c r="L631" s="594" t="s">
        <v>755</v>
      </c>
      <c r="M631" s="699"/>
      <c r="N631" s="419">
        <v>0</v>
      </c>
      <c r="O631" s="287">
        <f t="shared" si="214"/>
        <v>0</v>
      </c>
      <c r="P631" s="384">
        <f t="shared" si="215"/>
        <v>0</v>
      </c>
      <c r="Q631" s="288"/>
      <c r="R631" s="311" t="str">
        <f>IF(P628&gt;0,"xy","")</f>
        <v/>
      </c>
      <c r="S631" s="378" t="str">
        <f t="shared" si="232"/>
        <v/>
      </c>
    </row>
    <row r="632" spans="2:19" hidden="1" x14ac:dyDescent="0.2">
      <c r="B632" s="731" t="s">
        <v>168</v>
      </c>
      <c r="C632" s="300"/>
      <c r="D632" s="417" t="s">
        <v>264</v>
      </c>
      <c r="E632" s="704"/>
      <c r="F632" s="661">
        <v>20</v>
      </c>
      <c r="G632" s="665">
        <f>SUM(G628:G631)</f>
        <v>2.2999999999999998</v>
      </c>
      <c r="H632" s="664">
        <f>IF(F632&lt;=30,(1.05*F632+4.37)*G632,((1.05*30+4.37)+0.87*(F632-30))*G632)</f>
        <v>58.350999999999999</v>
      </c>
      <c r="I632" s="380">
        <v>0</v>
      </c>
      <c r="J632" s="380"/>
      <c r="K632" s="593">
        <f t="shared" si="252"/>
        <v>0</v>
      </c>
      <c r="L632" s="594" t="s">
        <v>755</v>
      </c>
      <c r="M632" s="699"/>
      <c r="N632" s="703">
        <v>0</v>
      </c>
      <c r="O632" s="287">
        <f t="shared" si="214"/>
        <v>0</v>
      </c>
      <c r="P632" s="384">
        <f t="shared" si="215"/>
        <v>0</v>
      </c>
      <c r="Q632" s="288"/>
      <c r="R632" s="311" t="str">
        <f>IF(P628&gt;0,"xy","")</f>
        <v/>
      </c>
      <c r="S632" s="378" t="str">
        <f t="shared" si="232"/>
        <v/>
      </c>
    </row>
    <row r="633" spans="2:19" ht="13.5" hidden="1" thickBot="1" x14ac:dyDescent="0.25">
      <c r="B633" s="761" t="s">
        <v>2062</v>
      </c>
      <c r="C633" s="753" t="s">
        <v>1947</v>
      </c>
      <c r="D633" s="712" t="s">
        <v>999</v>
      </c>
      <c r="E633" s="718"/>
      <c r="F633" s="666">
        <v>500</v>
      </c>
      <c r="G633" s="667">
        <v>1</v>
      </c>
      <c r="H633" s="663">
        <f>(0.74*F633+36.12)*G633</f>
        <v>406.12</v>
      </c>
      <c r="I633" s="657">
        <v>5048.25</v>
      </c>
      <c r="J633" s="657">
        <f>IF(ISBLANK(I633),"",I633*(1+$F$9)/(1+$F$10))+H633</f>
        <v>5222.5686982248517</v>
      </c>
      <c r="K633" s="619">
        <f t="shared" si="252"/>
        <v>6619.61</v>
      </c>
      <c r="L633" s="649" t="s">
        <v>20</v>
      </c>
      <c r="M633" s="695">
        <f>ROUND(M628*G628,2)</f>
        <v>0</v>
      </c>
      <c r="N633" s="700">
        <v>6619.61</v>
      </c>
      <c r="O633" s="425">
        <f t="shared" si="214"/>
        <v>0</v>
      </c>
      <c r="P633" s="426">
        <f t="shared" si="215"/>
        <v>0</v>
      </c>
      <c r="Q633" s="288"/>
      <c r="S633" s="378" t="str">
        <f t="shared" si="232"/>
        <v/>
      </c>
    </row>
    <row r="634" spans="2:19" hidden="1" x14ac:dyDescent="0.2">
      <c r="B634" s="760" t="s">
        <v>2063</v>
      </c>
      <c r="C634" s="711" t="s">
        <v>207</v>
      </c>
      <c r="D634" s="716" t="s">
        <v>1000</v>
      </c>
      <c r="E634" s="717"/>
      <c r="F634" s="658" t="s">
        <v>805</v>
      </c>
      <c r="G634" s="659">
        <v>0.18240000000000001</v>
      </c>
      <c r="H634" s="660">
        <f>SUM(H635:H638)</f>
        <v>176.40839099999999</v>
      </c>
      <c r="I634" s="656">
        <v>121.5</v>
      </c>
      <c r="J634" s="656">
        <f t="shared" ref="J634" si="272">IF(ISBLANK(I634),"",SUM(H634:I634))</f>
        <v>297.90839099999999</v>
      </c>
      <c r="K634" s="606">
        <f t="shared" si="252"/>
        <v>377.6</v>
      </c>
      <c r="L634" s="648" t="s">
        <v>20</v>
      </c>
      <c r="M634" s="697"/>
      <c r="N634" s="698">
        <v>377.6</v>
      </c>
      <c r="O634" s="423">
        <f t="shared" si="214"/>
        <v>0</v>
      </c>
      <c r="P634" s="424">
        <f t="shared" si="215"/>
        <v>0</v>
      </c>
      <c r="Q634" s="288"/>
      <c r="R634" s="243"/>
      <c r="S634" s="378" t="str">
        <f t="shared" si="232"/>
        <v/>
      </c>
    </row>
    <row r="635" spans="2:19" hidden="1" x14ac:dyDescent="0.2">
      <c r="B635" s="731" t="s">
        <v>168</v>
      </c>
      <c r="C635" s="300"/>
      <c r="D635" s="417" t="s">
        <v>249</v>
      </c>
      <c r="E635" s="704"/>
      <c r="F635" s="661">
        <v>180</v>
      </c>
      <c r="G635" s="665">
        <v>0.56969999999999998</v>
      </c>
      <c r="H635" s="663">
        <f t="shared" ref="H635" si="273">IF(F635&lt;=30,(1.05*F635+2.18)*G635,((1.05*30+2.18)+0.87*(F635-30))*G635)</f>
        <v>93.533345999999995</v>
      </c>
      <c r="I635" s="380">
        <v>0</v>
      </c>
      <c r="J635" s="380"/>
      <c r="K635" s="593">
        <f t="shared" ref="K635" si="274">IF(ISBLANK(I635),0,ROUND(J635*(1+$F$10)*(1+$F$11*E635),2))</f>
        <v>0</v>
      </c>
      <c r="L635" s="594" t="s">
        <v>755</v>
      </c>
      <c r="M635" s="699"/>
      <c r="N635" s="419">
        <v>0</v>
      </c>
      <c r="O635" s="287">
        <f t="shared" si="214"/>
        <v>0</v>
      </c>
      <c r="P635" s="384">
        <f t="shared" si="215"/>
        <v>0</v>
      </c>
      <c r="Q635" s="288"/>
      <c r="R635" s="311" t="str">
        <f>IF(P634&gt;0,"xy","")</f>
        <v/>
      </c>
      <c r="S635" s="378" t="str">
        <f t="shared" si="232"/>
        <v/>
      </c>
    </row>
    <row r="636" spans="2:19" hidden="1" x14ac:dyDescent="0.2">
      <c r="B636" s="731" t="s">
        <v>168</v>
      </c>
      <c r="C636" s="300"/>
      <c r="D636" s="417" t="s">
        <v>250</v>
      </c>
      <c r="E636" s="704"/>
      <c r="F636" s="661">
        <v>500</v>
      </c>
      <c r="G636" s="665">
        <v>8.7599999999999997E-2</v>
      </c>
      <c r="H636" s="664">
        <f>IF(F636&lt;=30,(0.51*F636+4.28)*G636,((0.51*30+4.28)+0.42*(F636-30))*G636)</f>
        <v>19.007448</v>
      </c>
      <c r="I636" s="380">
        <v>0</v>
      </c>
      <c r="J636" s="380"/>
      <c r="K636" s="593">
        <f t="shared" si="252"/>
        <v>0</v>
      </c>
      <c r="L636" s="594" t="s">
        <v>755</v>
      </c>
      <c r="M636" s="699"/>
      <c r="N636" s="419">
        <v>0</v>
      </c>
      <c r="O636" s="287">
        <f t="shared" si="214"/>
        <v>0</v>
      </c>
      <c r="P636" s="384">
        <f t="shared" si="215"/>
        <v>0</v>
      </c>
      <c r="Q636" s="288"/>
      <c r="R636" s="311" t="str">
        <f>IF(P634&gt;0,"xy","")</f>
        <v/>
      </c>
      <c r="S636" s="378" t="str">
        <f t="shared" si="232"/>
        <v/>
      </c>
    </row>
    <row r="637" spans="2:19" hidden="1" x14ac:dyDescent="0.2">
      <c r="B637" s="731" t="s">
        <v>168</v>
      </c>
      <c r="C637" s="300"/>
      <c r="D637" s="417" t="s">
        <v>263</v>
      </c>
      <c r="E637" s="704"/>
      <c r="F637" s="661">
        <v>0.2</v>
      </c>
      <c r="G637" s="665">
        <v>1.5333000000000001</v>
      </c>
      <c r="H637" s="664">
        <f>IF(F637=0,0,IF(F637&lt;=30,(1.05*F637+2.18)*G637,((1.05*30+2.18)+0.87*(F637-30))*G637))</f>
        <v>3.6645870000000005</v>
      </c>
      <c r="I637" s="380">
        <v>0</v>
      </c>
      <c r="J637" s="380"/>
      <c r="K637" s="593">
        <f t="shared" si="252"/>
        <v>0</v>
      </c>
      <c r="L637" s="594" t="s">
        <v>755</v>
      </c>
      <c r="M637" s="699"/>
      <c r="N637" s="419">
        <v>0</v>
      </c>
      <c r="O637" s="287">
        <f t="shared" si="214"/>
        <v>0</v>
      </c>
      <c r="P637" s="384">
        <f t="shared" si="215"/>
        <v>0</v>
      </c>
      <c r="Q637" s="288"/>
      <c r="R637" s="311" t="str">
        <f>IF(P634&gt;0,"xy","")</f>
        <v/>
      </c>
      <c r="S637" s="378" t="str">
        <f t="shared" si="232"/>
        <v/>
      </c>
    </row>
    <row r="638" spans="2:19" hidden="1" x14ac:dyDescent="0.2">
      <c r="B638" s="731" t="s">
        <v>168</v>
      </c>
      <c r="C638" s="300"/>
      <c r="D638" s="417" t="s">
        <v>264</v>
      </c>
      <c r="E638" s="704"/>
      <c r="F638" s="661">
        <v>20</v>
      </c>
      <c r="G638" s="665">
        <f>SUM(G634:G637)</f>
        <v>2.3730000000000002</v>
      </c>
      <c r="H638" s="664">
        <f>IF(F638&lt;=30,(1.05*F638+4.37)*G638,((1.05*30+4.37)+0.87*(F638-30))*G638)</f>
        <v>60.203010000000006</v>
      </c>
      <c r="I638" s="380">
        <v>0</v>
      </c>
      <c r="J638" s="380"/>
      <c r="K638" s="593">
        <f t="shared" si="252"/>
        <v>0</v>
      </c>
      <c r="L638" s="594" t="s">
        <v>755</v>
      </c>
      <c r="M638" s="699"/>
      <c r="N638" s="703">
        <v>0</v>
      </c>
      <c r="O638" s="287">
        <f t="shared" si="214"/>
        <v>0</v>
      </c>
      <c r="P638" s="384">
        <f t="shared" si="215"/>
        <v>0</v>
      </c>
      <c r="Q638" s="288"/>
      <c r="R638" s="311" t="str">
        <f>IF(P634&gt;0,"xy","")</f>
        <v/>
      </c>
      <c r="S638" s="378" t="str">
        <f t="shared" si="232"/>
        <v/>
      </c>
    </row>
    <row r="639" spans="2:19" ht="13.5" hidden="1" thickBot="1" x14ac:dyDescent="0.25">
      <c r="B639" s="761" t="s">
        <v>2064</v>
      </c>
      <c r="C639" s="753" t="s">
        <v>1947</v>
      </c>
      <c r="D639" s="712" t="s">
        <v>1767</v>
      </c>
      <c r="E639" s="718"/>
      <c r="F639" s="666">
        <v>500</v>
      </c>
      <c r="G639" s="667">
        <v>1</v>
      </c>
      <c r="H639" s="663">
        <f>(0.74*F639+36.12)*G639</f>
        <v>406.12</v>
      </c>
      <c r="I639" s="657">
        <v>5048.25</v>
      </c>
      <c r="J639" s="657">
        <f>IF(ISBLANK(I639),"",I639*(1+$F$9)/(1+$F$10))+H639</f>
        <v>5222.5686982248517</v>
      </c>
      <c r="K639" s="650">
        <f t="shared" si="252"/>
        <v>6619.61</v>
      </c>
      <c r="L639" s="625" t="s">
        <v>20</v>
      </c>
      <c r="M639" s="695">
        <f>ROUND(M634*G634,2)</f>
        <v>0</v>
      </c>
      <c r="N639" s="700">
        <v>6619.61</v>
      </c>
      <c r="O639" s="425">
        <f t="shared" si="214"/>
        <v>0</v>
      </c>
      <c r="P639" s="426">
        <f t="shared" si="215"/>
        <v>0</v>
      </c>
      <c r="Q639" s="288"/>
      <c r="S639" s="378" t="str">
        <f t="shared" ref="S639:S702" si="275">IF(R639="x","x",IF(R639="y","x",IF(R639="xy","x",IF(P639&gt;0,"x",""))))</f>
        <v/>
      </c>
    </row>
    <row r="640" spans="2:19" hidden="1" x14ac:dyDescent="0.2">
      <c r="B640" s="760" t="s">
        <v>2065</v>
      </c>
      <c r="C640" s="711" t="s">
        <v>207</v>
      </c>
      <c r="D640" s="719" t="s">
        <v>1001</v>
      </c>
      <c r="E640" s="717"/>
      <c r="F640" s="658" t="s">
        <v>804</v>
      </c>
      <c r="G640" s="659">
        <v>0.04</v>
      </c>
      <c r="H640" s="660">
        <f>SUM(H641:H644)</f>
        <v>31.763249999999999</v>
      </c>
      <c r="I640" s="656">
        <v>172.5</v>
      </c>
      <c r="J640" s="656">
        <f t="shared" ref="J640" si="276">IF(ISBLANK(I640),"",SUM(H640:I640))</f>
        <v>204.26325</v>
      </c>
      <c r="K640" s="606">
        <f t="shared" si="252"/>
        <v>258.89999999999998</v>
      </c>
      <c r="L640" s="648" t="s">
        <v>20</v>
      </c>
      <c r="M640" s="697"/>
      <c r="N640" s="698">
        <v>258.89999999999998</v>
      </c>
      <c r="O640" s="423">
        <f t="shared" si="214"/>
        <v>0</v>
      </c>
      <c r="P640" s="424">
        <f t="shared" si="215"/>
        <v>0</v>
      </c>
      <c r="Q640" s="288"/>
      <c r="R640" s="243"/>
      <c r="S640" s="378" t="str">
        <f t="shared" si="275"/>
        <v/>
      </c>
    </row>
    <row r="641" spans="2:19" hidden="1" x14ac:dyDescent="0.2">
      <c r="B641" s="731" t="s">
        <v>168</v>
      </c>
      <c r="C641" s="300"/>
      <c r="D641" s="417" t="s">
        <v>249</v>
      </c>
      <c r="E641" s="704"/>
      <c r="F641" s="661">
        <v>180</v>
      </c>
      <c r="G641" s="665">
        <v>0</v>
      </c>
      <c r="H641" s="663">
        <f t="shared" ref="H641" si="277">IF(F641&lt;=30,(1.05*F641+2.18)*G641,((1.05*30+2.18)+0.87*(F641-30))*G641)</f>
        <v>0</v>
      </c>
      <c r="I641" s="380">
        <v>0</v>
      </c>
      <c r="J641" s="380">
        <f t="shared" ref="J641" si="278">IF(ISBLANK(I641),"",SUM(H641:I641))</f>
        <v>0</v>
      </c>
      <c r="K641" s="593">
        <f t="shared" ref="K641" si="279">IF(ISBLANK(I641),0,ROUND(J641*(1+$F$10)*(1+$F$11*E641),2))</f>
        <v>0</v>
      </c>
      <c r="L641" s="594" t="s">
        <v>755</v>
      </c>
      <c r="M641" s="699"/>
      <c r="N641" s="419">
        <v>0</v>
      </c>
      <c r="O641" s="287">
        <f t="shared" si="214"/>
        <v>0</v>
      </c>
      <c r="P641" s="384">
        <f t="shared" si="215"/>
        <v>0</v>
      </c>
      <c r="Q641" s="288"/>
      <c r="R641" s="311" t="str">
        <f>IF(P640&gt;0,"xy","")</f>
        <v/>
      </c>
      <c r="S641" s="378" t="str">
        <f t="shared" si="275"/>
        <v/>
      </c>
    </row>
    <row r="642" spans="2:19" hidden="1" x14ac:dyDescent="0.2">
      <c r="B642" s="731" t="s">
        <v>168</v>
      </c>
      <c r="C642" s="300"/>
      <c r="D642" s="417" t="s">
        <v>250</v>
      </c>
      <c r="E642" s="704"/>
      <c r="F642" s="661">
        <v>500</v>
      </c>
      <c r="G642" s="665">
        <v>1.4999999999999999E-2</v>
      </c>
      <c r="H642" s="664">
        <f>IF(F642&lt;=30,(0.51*F642+4.28)*G642,((0.51*30+4.28)+0.42*(F642-30))*G642)</f>
        <v>3.2547000000000001</v>
      </c>
      <c r="I642" s="380">
        <v>0</v>
      </c>
      <c r="J642" s="380"/>
      <c r="K642" s="593">
        <f t="shared" si="252"/>
        <v>0</v>
      </c>
      <c r="L642" s="594" t="s">
        <v>755</v>
      </c>
      <c r="M642" s="699"/>
      <c r="N642" s="419">
        <v>0</v>
      </c>
      <c r="O642" s="287">
        <f t="shared" si="214"/>
        <v>0</v>
      </c>
      <c r="P642" s="384">
        <f t="shared" si="215"/>
        <v>0</v>
      </c>
      <c r="Q642" s="288"/>
      <c r="R642" s="311" t="str">
        <f>IF(P640&gt;0,"xy","")</f>
        <v/>
      </c>
      <c r="S642" s="378" t="str">
        <f t="shared" si="275"/>
        <v/>
      </c>
    </row>
    <row r="643" spans="2:19" hidden="1" x14ac:dyDescent="0.2">
      <c r="B643" s="731" t="s">
        <v>168</v>
      </c>
      <c r="C643" s="300"/>
      <c r="D643" s="417" t="s">
        <v>263</v>
      </c>
      <c r="E643" s="704"/>
      <c r="F643" s="661">
        <v>0.2</v>
      </c>
      <c r="G643" s="665">
        <v>0.94499999999999995</v>
      </c>
      <c r="H643" s="664">
        <f>IF(F643=0,0,IF(F643&lt;=30,(1.05*F643+2.18)*G643,((1.05*30+2.18)+0.87*(F643-30))*G643))</f>
        <v>2.2585500000000001</v>
      </c>
      <c r="I643" s="380">
        <v>0</v>
      </c>
      <c r="J643" s="380"/>
      <c r="K643" s="593">
        <f t="shared" si="252"/>
        <v>0</v>
      </c>
      <c r="L643" s="594" t="s">
        <v>755</v>
      </c>
      <c r="M643" s="699"/>
      <c r="N643" s="419">
        <v>0</v>
      </c>
      <c r="O643" s="287">
        <f t="shared" si="214"/>
        <v>0</v>
      </c>
      <c r="P643" s="384">
        <f t="shared" si="215"/>
        <v>0</v>
      </c>
      <c r="Q643" s="288"/>
      <c r="R643" s="311" t="str">
        <f>IF(P640&gt;0,"xy","")</f>
        <v/>
      </c>
      <c r="S643" s="378" t="str">
        <f t="shared" si="275"/>
        <v/>
      </c>
    </row>
    <row r="644" spans="2:19" hidden="1" x14ac:dyDescent="0.2">
      <c r="B644" s="731" t="s">
        <v>168</v>
      </c>
      <c r="C644" s="300"/>
      <c r="D644" s="417" t="s">
        <v>264</v>
      </c>
      <c r="E644" s="704"/>
      <c r="F644" s="661">
        <v>20</v>
      </c>
      <c r="G644" s="665">
        <v>1</v>
      </c>
      <c r="H644" s="664">
        <f>IF(F644&lt;=30,(1.05*F644+5.25)*G644,((1.05*30+5.25)+0.87*(F644-30))*G644)</f>
        <v>26.25</v>
      </c>
      <c r="I644" s="380">
        <v>0</v>
      </c>
      <c r="J644" s="380"/>
      <c r="K644" s="593">
        <f t="shared" si="252"/>
        <v>0</v>
      </c>
      <c r="L644" s="594" t="s">
        <v>755</v>
      </c>
      <c r="M644" s="699"/>
      <c r="N644" s="703">
        <v>0</v>
      </c>
      <c r="O644" s="287">
        <f t="shared" si="214"/>
        <v>0</v>
      </c>
      <c r="P644" s="384">
        <f t="shared" si="215"/>
        <v>0</v>
      </c>
      <c r="Q644" s="288"/>
      <c r="R644" s="311" t="str">
        <f>IF(P640&gt;0,"xy","")</f>
        <v/>
      </c>
      <c r="S644" s="378" t="str">
        <f t="shared" si="275"/>
        <v/>
      </c>
    </row>
    <row r="645" spans="2:19" ht="13.5" hidden="1" thickBot="1" x14ac:dyDescent="0.25">
      <c r="B645" s="762" t="s">
        <v>2066</v>
      </c>
      <c r="C645" s="371" t="s">
        <v>1947</v>
      </c>
      <c r="D645" s="712" t="s">
        <v>799</v>
      </c>
      <c r="E645" s="720"/>
      <c r="F645" s="672">
        <v>500</v>
      </c>
      <c r="G645" s="667">
        <v>1</v>
      </c>
      <c r="H645" s="668">
        <f>(0.82*F645+40.14)*G645</f>
        <v>450.14</v>
      </c>
      <c r="I645" s="657">
        <v>6287.6</v>
      </c>
      <c r="J645" s="657">
        <f>IF(ISBLANK(I645),"",I645*(1+$F$9)/(1+$F$10))+H645</f>
        <v>6449.0312662721899</v>
      </c>
      <c r="K645" s="619">
        <f t="shared" si="252"/>
        <v>8174.15</v>
      </c>
      <c r="L645" s="649" t="s">
        <v>20</v>
      </c>
      <c r="M645" s="695">
        <f>ROUND(M640*G640,2)</f>
        <v>0</v>
      </c>
      <c r="N645" s="700">
        <v>8174.15</v>
      </c>
      <c r="O645" s="425">
        <f t="shared" si="214"/>
        <v>0</v>
      </c>
      <c r="P645" s="426">
        <f t="shared" si="215"/>
        <v>0</v>
      </c>
      <c r="Q645" s="288"/>
      <c r="S645" s="378" t="str">
        <f t="shared" si="275"/>
        <v/>
      </c>
    </row>
    <row r="646" spans="2:19" hidden="1" x14ac:dyDescent="0.2">
      <c r="B646" s="760" t="s">
        <v>2067</v>
      </c>
      <c r="C646" s="711" t="s">
        <v>207</v>
      </c>
      <c r="D646" s="719" t="s">
        <v>1002</v>
      </c>
      <c r="E646" s="717"/>
      <c r="F646" s="658" t="s">
        <v>804</v>
      </c>
      <c r="G646" s="659">
        <v>0.04</v>
      </c>
      <c r="H646" s="660">
        <f>SUM(H647:H650)</f>
        <v>31.763249999999999</v>
      </c>
      <c r="I646" s="656">
        <v>152.49</v>
      </c>
      <c r="J646" s="656">
        <f t="shared" ref="J646" si="280">IF(ISBLANK(I646),"",SUM(H646:I646))</f>
        <v>184.25325000000001</v>
      </c>
      <c r="K646" s="606">
        <f t="shared" si="252"/>
        <v>233.54</v>
      </c>
      <c r="L646" s="648" t="s">
        <v>20</v>
      </c>
      <c r="M646" s="697"/>
      <c r="N646" s="698">
        <v>233.54</v>
      </c>
      <c r="O646" s="423">
        <f t="shared" si="214"/>
        <v>0</v>
      </c>
      <c r="P646" s="424">
        <f t="shared" si="215"/>
        <v>0</v>
      </c>
      <c r="Q646" s="288"/>
      <c r="R646" s="243"/>
      <c r="S646" s="378" t="str">
        <f t="shared" si="275"/>
        <v/>
      </c>
    </row>
    <row r="647" spans="2:19" hidden="1" x14ac:dyDescent="0.2">
      <c r="B647" s="731" t="s">
        <v>168</v>
      </c>
      <c r="C647" s="300"/>
      <c r="D647" s="417" t="s">
        <v>249</v>
      </c>
      <c r="E647" s="704"/>
      <c r="F647" s="661">
        <v>180</v>
      </c>
      <c r="G647" s="665">
        <v>0</v>
      </c>
      <c r="H647" s="663">
        <f t="shared" ref="H647" si="281">IF(F647&lt;=30,(1.05*F647+2.18)*G647,((1.05*30+2.18)+0.87*(F647-30))*G647)</f>
        <v>0</v>
      </c>
      <c r="I647" s="380">
        <v>0</v>
      </c>
      <c r="J647" s="380">
        <f t="shared" ref="J647" si="282">IF(ISBLANK(I647),"",SUM(H647:I647))</f>
        <v>0</v>
      </c>
      <c r="K647" s="593">
        <f t="shared" si="252"/>
        <v>0</v>
      </c>
      <c r="L647" s="651" t="s">
        <v>755</v>
      </c>
      <c r="M647" s="699"/>
      <c r="N647" s="419">
        <v>0</v>
      </c>
      <c r="O647" s="287">
        <f t="shared" si="214"/>
        <v>0</v>
      </c>
      <c r="P647" s="384">
        <f t="shared" si="215"/>
        <v>0</v>
      </c>
      <c r="Q647" s="288"/>
      <c r="R647" s="311" t="str">
        <f>IF(P646&gt;0,"xy","")</f>
        <v/>
      </c>
      <c r="S647" s="378" t="str">
        <f t="shared" si="275"/>
        <v/>
      </c>
    </row>
    <row r="648" spans="2:19" hidden="1" x14ac:dyDescent="0.2">
      <c r="B648" s="731" t="s">
        <v>168</v>
      </c>
      <c r="C648" s="300"/>
      <c r="D648" s="417" t="s">
        <v>250</v>
      </c>
      <c r="E648" s="704"/>
      <c r="F648" s="661">
        <v>500</v>
      </c>
      <c r="G648" s="665">
        <v>1.4999999999999999E-2</v>
      </c>
      <c r="H648" s="664">
        <f>IF(F648&lt;=30,(0.51*F648+4.28)*G648,((0.51*30+4.28)+0.42*(F648-30))*G648)</f>
        <v>3.2547000000000001</v>
      </c>
      <c r="I648" s="380">
        <v>0</v>
      </c>
      <c r="J648" s="380"/>
      <c r="K648" s="593">
        <f t="shared" si="252"/>
        <v>0</v>
      </c>
      <c r="L648" s="651" t="s">
        <v>755</v>
      </c>
      <c r="M648" s="699"/>
      <c r="N648" s="419">
        <v>0</v>
      </c>
      <c r="O648" s="287">
        <f t="shared" si="214"/>
        <v>0</v>
      </c>
      <c r="P648" s="384">
        <f t="shared" si="215"/>
        <v>0</v>
      </c>
      <c r="Q648" s="288"/>
      <c r="R648" s="311" t="str">
        <f>IF(P646&gt;0,"xy","")</f>
        <v/>
      </c>
      <c r="S648" s="378" t="str">
        <f t="shared" si="275"/>
        <v/>
      </c>
    </row>
    <row r="649" spans="2:19" hidden="1" x14ac:dyDescent="0.2">
      <c r="B649" s="731" t="s">
        <v>168</v>
      </c>
      <c r="C649" s="300"/>
      <c r="D649" s="417" t="s">
        <v>263</v>
      </c>
      <c r="E649" s="704"/>
      <c r="F649" s="661">
        <v>0.2</v>
      </c>
      <c r="G649" s="665">
        <v>0.94499999999999995</v>
      </c>
      <c r="H649" s="664">
        <f>IF(F649=0,0,IF(F649&lt;=30,(1.05*F649+2.18)*G649,((1.05*30+2.18)+0.87*(F649-30))*G649))</f>
        <v>2.2585500000000001</v>
      </c>
      <c r="I649" s="380">
        <v>0</v>
      </c>
      <c r="J649" s="380"/>
      <c r="K649" s="593">
        <f t="shared" si="252"/>
        <v>0</v>
      </c>
      <c r="L649" s="651" t="s">
        <v>755</v>
      </c>
      <c r="M649" s="699"/>
      <c r="N649" s="419">
        <v>0</v>
      </c>
      <c r="O649" s="287">
        <f t="shared" si="214"/>
        <v>0</v>
      </c>
      <c r="P649" s="384">
        <f t="shared" si="215"/>
        <v>0</v>
      </c>
      <c r="Q649" s="288"/>
      <c r="R649" s="311" t="str">
        <f>IF(P646&gt;0,"xy","")</f>
        <v/>
      </c>
      <c r="S649" s="378" t="str">
        <f t="shared" si="275"/>
        <v/>
      </c>
    </row>
    <row r="650" spans="2:19" hidden="1" x14ac:dyDescent="0.2">
      <c r="B650" s="731" t="s">
        <v>168</v>
      </c>
      <c r="C650" s="300"/>
      <c r="D650" s="417" t="s">
        <v>264</v>
      </c>
      <c r="E650" s="704"/>
      <c r="F650" s="661">
        <v>20</v>
      </c>
      <c r="G650" s="665">
        <f>SUM(G646:G649)</f>
        <v>1</v>
      </c>
      <c r="H650" s="664">
        <f>IF(F650&lt;=30,(1.05*F650+5.25)*G650,((1.05*30+5.25)+0.87*(F650-30))*G650)</f>
        <v>26.25</v>
      </c>
      <c r="I650" s="380">
        <v>0</v>
      </c>
      <c r="J650" s="380"/>
      <c r="K650" s="593">
        <f t="shared" si="252"/>
        <v>0</v>
      </c>
      <c r="L650" s="651" t="s">
        <v>755</v>
      </c>
      <c r="M650" s="699"/>
      <c r="N650" s="703">
        <v>0</v>
      </c>
      <c r="O650" s="287">
        <f t="shared" si="214"/>
        <v>0</v>
      </c>
      <c r="P650" s="384">
        <f t="shared" si="215"/>
        <v>0</v>
      </c>
      <c r="Q650" s="288"/>
      <c r="R650" s="311" t="str">
        <f>IF(P646&gt;0,"xy","")</f>
        <v/>
      </c>
      <c r="S650" s="378" t="str">
        <f t="shared" si="275"/>
        <v/>
      </c>
    </row>
    <row r="651" spans="2:19" ht="13.5" hidden="1" thickBot="1" x14ac:dyDescent="0.25">
      <c r="B651" s="763" t="s">
        <v>2068</v>
      </c>
      <c r="C651" s="753" t="s">
        <v>1947</v>
      </c>
      <c r="D651" s="712" t="s">
        <v>800</v>
      </c>
      <c r="E651" s="718"/>
      <c r="F651" s="672">
        <v>500</v>
      </c>
      <c r="G651" s="667">
        <v>1</v>
      </c>
      <c r="H651" s="668">
        <f>(0.82*F651+40.14)*G651</f>
        <v>450.14</v>
      </c>
      <c r="I651" s="657">
        <v>6287.6</v>
      </c>
      <c r="J651" s="657">
        <f>IF(ISBLANK(I651),"",I651*(1+$F$9)/(1+$F$10))+H651</f>
        <v>6449.0312662721899</v>
      </c>
      <c r="K651" s="619">
        <f t="shared" si="252"/>
        <v>8174.15</v>
      </c>
      <c r="L651" s="649" t="s">
        <v>20</v>
      </c>
      <c r="M651" s="695">
        <f>ROUND(M646*G646,2)</f>
        <v>0</v>
      </c>
      <c r="N651" s="700">
        <v>8174.15</v>
      </c>
      <c r="O651" s="425">
        <f t="shared" si="214"/>
        <v>0</v>
      </c>
      <c r="P651" s="426">
        <f t="shared" si="215"/>
        <v>0</v>
      </c>
      <c r="Q651" s="288"/>
      <c r="S651" s="378" t="str">
        <f t="shared" si="275"/>
        <v/>
      </c>
    </row>
    <row r="652" spans="2:19" ht="15.75" hidden="1" x14ac:dyDescent="0.2">
      <c r="B652" s="760" t="s">
        <v>2069</v>
      </c>
      <c r="C652" s="711" t="s">
        <v>207</v>
      </c>
      <c r="D652" s="716" t="s">
        <v>1009</v>
      </c>
      <c r="E652" s="717"/>
      <c r="F652" s="658" t="s">
        <v>804</v>
      </c>
      <c r="G652" s="659">
        <v>5.7000000000000002E-2</v>
      </c>
      <c r="H652" s="660">
        <f>SUM(H653:H656)</f>
        <v>47.901620000000001</v>
      </c>
      <c r="I652" s="656">
        <v>182.86</v>
      </c>
      <c r="J652" s="656">
        <f t="shared" ref="J652" si="283">IF(ISBLANK(I652),"",SUM(H652:I652))</f>
        <v>230.76162000000002</v>
      </c>
      <c r="K652" s="606">
        <f t="shared" si="252"/>
        <v>292.49</v>
      </c>
      <c r="L652" s="648" t="s">
        <v>20</v>
      </c>
      <c r="M652" s="697"/>
      <c r="N652" s="698">
        <v>292.49</v>
      </c>
      <c r="O652" s="423">
        <f t="shared" si="214"/>
        <v>0</v>
      </c>
      <c r="P652" s="424">
        <f t="shared" si="215"/>
        <v>0</v>
      </c>
      <c r="Q652" s="288"/>
      <c r="R652" s="243"/>
      <c r="S652" s="378" t="str">
        <f t="shared" si="275"/>
        <v/>
      </c>
    </row>
    <row r="653" spans="2:19" hidden="1" x14ac:dyDescent="0.2">
      <c r="B653" s="731" t="s">
        <v>168</v>
      </c>
      <c r="C653" s="300"/>
      <c r="D653" s="417" t="s">
        <v>249</v>
      </c>
      <c r="E653" s="704"/>
      <c r="F653" s="661">
        <v>180</v>
      </c>
      <c r="G653" s="665">
        <v>0.1</v>
      </c>
      <c r="H653" s="663">
        <f t="shared" ref="H653" si="284">IF(F653&lt;=30,(1.05*F653+2.18)*G653,((1.05*30+2.18)+0.87*(F653-30))*G653)</f>
        <v>16.418000000000003</v>
      </c>
      <c r="I653" s="380">
        <v>0</v>
      </c>
      <c r="J653" s="380"/>
      <c r="K653" s="593">
        <f t="shared" ref="K653" si="285">IF(ISBLANK(I653),0,ROUND(J653*(1+$F$10)*(1+$F$11*E653),2))</f>
        <v>0</v>
      </c>
      <c r="L653" s="594" t="s">
        <v>755</v>
      </c>
      <c r="M653" s="699"/>
      <c r="N653" s="419">
        <v>0</v>
      </c>
      <c r="O653" s="287">
        <f t="shared" si="214"/>
        <v>0</v>
      </c>
      <c r="P653" s="384">
        <f t="shared" si="215"/>
        <v>0</v>
      </c>
      <c r="Q653" s="288"/>
      <c r="R653" s="311" t="str">
        <f>IF(P652&gt;0,"xy","")</f>
        <v/>
      </c>
      <c r="S653" s="378" t="str">
        <f t="shared" si="275"/>
        <v/>
      </c>
    </row>
    <row r="654" spans="2:19" hidden="1" x14ac:dyDescent="0.2">
      <c r="B654" s="731" t="s">
        <v>168</v>
      </c>
      <c r="C654" s="300"/>
      <c r="D654" s="417" t="s">
        <v>250</v>
      </c>
      <c r="E654" s="704"/>
      <c r="F654" s="661">
        <v>500</v>
      </c>
      <c r="G654" s="665">
        <v>1.4999999999999999E-2</v>
      </c>
      <c r="H654" s="664">
        <f>IF(F654&lt;=30,(0.51*F654+4.28)*G654,((0.51*30+4.28)+0.42*(F654-30))*G654)</f>
        <v>3.2547000000000001</v>
      </c>
      <c r="I654" s="380">
        <v>0</v>
      </c>
      <c r="J654" s="380"/>
      <c r="K654" s="593">
        <f t="shared" si="252"/>
        <v>0</v>
      </c>
      <c r="L654" s="594" t="s">
        <v>755</v>
      </c>
      <c r="M654" s="699"/>
      <c r="N654" s="419">
        <v>0</v>
      </c>
      <c r="O654" s="287">
        <f t="shared" si="214"/>
        <v>0</v>
      </c>
      <c r="P654" s="384">
        <f t="shared" si="215"/>
        <v>0</v>
      </c>
      <c r="Q654" s="288"/>
      <c r="R654" s="311" t="str">
        <f>IF(P652&gt;0,"xy","")</f>
        <v/>
      </c>
      <c r="S654" s="378" t="str">
        <f t="shared" si="275"/>
        <v/>
      </c>
    </row>
    <row r="655" spans="2:19" hidden="1" x14ac:dyDescent="0.2">
      <c r="B655" s="731" t="s">
        <v>168</v>
      </c>
      <c r="C655" s="300"/>
      <c r="D655" s="417" t="s">
        <v>263</v>
      </c>
      <c r="E655" s="704"/>
      <c r="F655" s="661">
        <v>0.2</v>
      </c>
      <c r="G655" s="665">
        <v>0.82799999999999996</v>
      </c>
      <c r="H655" s="664">
        <f>IF(F655=0,0,IF(F655&lt;=30,(1.05*F655+2.18)*G655,((1.05*30+2.18)+0.87*(F655-30))*G655))</f>
        <v>1.97892</v>
      </c>
      <c r="I655" s="380">
        <v>0</v>
      </c>
      <c r="J655" s="380"/>
      <c r="K655" s="593">
        <f t="shared" si="252"/>
        <v>0</v>
      </c>
      <c r="L655" s="594" t="s">
        <v>755</v>
      </c>
      <c r="M655" s="699"/>
      <c r="N655" s="419">
        <v>0</v>
      </c>
      <c r="O655" s="287">
        <f t="shared" si="214"/>
        <v>0</v>
      </c>
      <c r="P655" s="384">
        <f t="shared" si="215"/>
        <v>0</v>
      </c>
      <c r="Q655" s="288"/>
      <c r="R655" s="311" t="str">
        <f>IF(P652&gt;0,"xy","")</f>
        <v/>
      </c>
      <c r="S655" s="378" t="str">
        <f t="shared" si="275"/>
        <v/>
      </c>
    </row>
    <row r="656" spans="2:19" hidden="1" x14ac:dyDescent="0.2">
      <c r="B656" s="731" t="s">
        <v>168</v>
      </c>
      <c r="C656" s="300"/>
      <c r="D656" s="417" t="s">
        <v>264</v>
      </c>
      <c r="E656" s="704"/>
      <c r="F656" s="661">
        <v>20</v>
      </c>
      <c r="G656" s="665">
        <f>SUM(G652:G655)</f>
        <v>1</v>
      </c>
      <c r="H656" s="664">
        <f>IF(F656&lt;=30,(1.05*F656+5.25)*G656,((1.05*30+5.25)+0.87*(F656-30))*G656)</f>
        <v>26.25</v>
      </c>
      <c r="I656" s="380">
        <v>0</v>
      </c>
      <c r="J656" s="380"/>
      <c r="K656" s="593">
        <f t="shared" si="252"/>
        <v>0</v>
      </c>
      <c r="L656" s="594" t="s">
        <v>755</v>
      </c>
      <c r="M656" s="699"/>
      <c r="N656" s="703">
        <v>0</v>
      </c>
      <c r="O656" s="287">
        <f t="shared" si="214"/>
        <v>0</v>
      </c>
      <c r="P656" s="384">
        <f t="shared" si="215"/>
        <v>0</v>
      </c>
      <c r="Q656" s="288"/>
      <c r="R656" s="311" t="str">
        <f>IF(P652&gt;0,"xy","")</f>
        <v/>
      </c>
      <c r="S656" s="378" t="str">
        <f t="shared" si="275"/>
        <v/>
      </c>
    </row>
    <row r="657" spans="2:19" ht="13.5" hidden="1" thickBot="1" x14ac:dyDescent="0.25">
      <c r="B657" s="763" t="s">
        <v>2070</v>
      </c>
      <c r="C657" s="753" t="s">
        <v>1947</v>
      </c>
      <c r="D657" s="712" t="s">
        <v>801</v>
      </c>
      <c r="E657" s="718"/>
      <c r="F657" s="666">
        <v>500</v>
      </c>
      <c r="G657" s="667">
        <v>1</v>
      </c>
      <c r="H657" s="668">
        <f>(0.82*F657+40.14)*G657</f>
        <v>450.14</v>
      </c>
      <c r="I657" s="657">
        <v>6287.6</v>
      </c>
      <c r="J657" s="657">
        <f>IF(ISBLANK(I657),"",I657*(1+$F$9)/(1+$F$10))+H657</f>
        <v>6449.0312662721899</v>
      </c>
      <c r="K657" s="650">
        <f t="shared" si="252"/>
        <v>8174.15</v>
      </c>
      <c r="L657" s="625" t="s">
        <v>20</v>
      </c>
      <c r="M657" s="695">
        <f>ROUND(M652*G652,2)</f>
        <v>0</v>
      </c>
      <c r="N657" s="700">
        <v>8174.15</v>
      </c>
      <c r="O657" s="425">
        <f t="shared" si="214"/>
        <v>0</v>
      </c>
      <c r="P657" s="426">
        <f t="shared" si="215"/>
        <v>0</v>
      </c>
      <c r="Q657" s="288"/>
      <c r="S657" s="378" t="str">
        <f t="shared" si="275"/>
        <v/>
      </c>
    </row>
    <row r="658" spans="2:19" ht="15.75" hidden="1" x14ac:dyDescent="0.2">
      <c r="B658" s="760" t="s">
        <v>2071</v>
      </c>
      <c r="C658" s="711" t="s">
        <v>207</v>
      </c>
      <c r="D658" s="716" t="s">
        <v>1010</v>
      </c>
      <c r="E658" s="717"/>
      <c r="F658" s="658" t="s">
        <v>804</v>
      </c>
      <c r="G658" s="659">
        <v>5.7000000000000002E-2</v>
      </c>
      <c r="H658" s="660">
        <f>SUM(H659:H662)</f>
        <v>47.901620000000001</v>
      </c>
      <c r="I658" s="656">
        <v>163.34</v>
      </c>
      <c r="J658" s="656">
        <f t="shared" ref="J658" si="286">IF(ISBLANK(I658),"",SUM(H658:I658))</f>
        <v>211.24162000000001</v>
      </c>
      <c r="K658" s="606">
        <f t="shared" si="252"/>
        <v>267.75</v>
      </c>
      <c r="L658" s="648" t="s">
        <v>20</v>
      </c>
      <c r="M658" s="697"/>
      <c r="N658" s="698">
        <v>267.75</v>
      </c>
      <c r="O658" s="423">
        <f t="shared" si="214"/>
        <v>0</v>
      </c>
      <c r="P658" s="424">
        <f t="shared" si="215"/>
        <v>0</v>
      </c>
      <c r="Q658" s="288"/>
      <c r="R658" s="243"/>
      <c r="S658" s="378" t="str">
        <f t="shared" si="275"/>
        <v/>
      </c>
    </row>
    <row r="659" spans="2:19" hidden="1" x14ac:dyDescent="0.2">
      <c r="B659" s="731" t="s">
        <v>168</v>
      </c>
      <c r="C659" s="300"/>
      <c r="D659" s="417" t="s">
        <v>249</v>
      </c>
      <c r="E659" s="704"/>
      <c r="F659" s="661">
        <v>180</v>
      </c>
      <c r="G659" s="665">
        <v>0.1</v>
      </c>
      <c r="H659" s="663">
        <f t="shared" ref="H659" si="287">IF(F659&lt;=30,(1.05*F659+2.18)*G659,((1.05*30+2.18)+0.87*(F659-30))*G659)</f>
        <v>16.418000000000003</v>
      </c>
      <c r="I659" s="380">
        <v>0</v>
      </c>
      <c r="J659" s="380"/>
      <c r="K659" s="593">
        <f t="shared" si="252"/>
        <v>0</v>
      </c>
      <c r="L659" s="594" t="s">
        <v>755</v>
      </c>
      <c r="M659" s="699"/>
      <c r="N659" s="419">
        <v>0</v>
      </c>
      <c r="O659" s="287">
        <f t="shared" si="214"/>
        <v>0</v>
      </c>
      <c r="P659" s="384">
        <f t="shared" si="215"/>
        <v>0</v>
      </c>
      <c r="Q659" s="288"/>
      <c r="R659" s="311" t="str">
        <f>IF(P658&gt;0,"xy","")</f>
        <v/>
      </c>
      <c r="S659" s="378" t="str">
        <f t="shared" si="275"/>
        <v/>
      </c>
    </row>
    <row r="660" spans="2:19" hidden="1" x14ac:dyDescent="0.2">
      <c r="B660" s="731" t="s">
        <v>168</v>
      </c>
      <c r="C660" s="300"/>
      <c r="D660" s="417" t="s">
        <v>250</v>
      </c>
      <c r="E660" s="704"/>
      <c r="F660" s="661">
        <v>500</v>
      </c>
      <c r="G660" s="665">
        <v>1.4999999999999999E-2</v>
      </c>
      <c r="H660" s="664">
        <f>IF(F660&lt;=30,(0.51*F660+4.28)*G660,((0.51*30+4.28)+0.42*(F660-30))*G660)</f>
        <v>3.2547000000000001</v>
      </c>
      <c r="I660" s="380">
        <v>0</v>
      </c>
      <c r="J660" s="380"/>
      <c r="K660" s="593">
        <f t="shared" si="252"/>
        <v>0</v>
      </c>
      <c r="L660" s="594" t="s">
        <v>755</v>
      </c>
      <c r="M660" s="699"/>
      <c r="N660" s="419">
        <v>0</v>
      </c>
      <c r="O660" s="287">
        <f t="shared" si="214"/>
        <v>0</v>
      </c>
      <c r="P660" s="384">
        <f t="shared" si="215"/>
        <v>0</v>
      </c>
      <c r="Q660" s="288"/>
      <c r="R660" s="311" t="str">
        <f>IF(P658&gt;0,"xy","")</f>
        <v/>
      </c>
      <c r="S660" s="378" t="str">
        <f t="shared" si="275"/>
        <v/>
      </c>
    </row>
    <row r="661" spans="2:19" hidden="1" x14ac:dyDescent="0.2">
      <c r="B661" s="731" t="s">
        <v>168</v>
      </c>
      <c r="C661" s="300"/>
      <c r="D661" s="417" t="s">
        <v>263</v>
      </c>
      <c r="E661" s="704"/>
      <c r="F661" s="661">
        <v>0.2</v>
      </c>
      <c r="G661" s="665">
        <v>0.82799999999999996</v>
      </c>
      <c r="H661" s="664">
        <f>IF(F661=0,0,IF(F661&lt;=30,(1.05*F661+2.18)*G661,((1.05*30+2.18)+0.87*(F661-30))*G661))</f>
        <v>1.97892</v>
      </c>
      <c r="I661" s="380">
        <v>0</v>
      </c>
      <c r="J661" s="380"/>
      <c r="K661" s="593">
        <f t="shared" si="252"/>
        <v>0</v>
      </c>
      <c r="L661" s="594" t="s">
        <v>755</v>
      </c>
      <c r="M661" s="699"/>
      <c r="N661" s="419">
        <v>0</v>
      </c>
      <c r="O661" s="287">
        <f t="shared" si="214"/>
        <v>0</v>
      </c>
      <c r="P661" s="384">
        <f t="shared" si="215"/>
        <v>0</v>
      </c>
      <c r="Q661" s="288"/>
      <c r="R661" s="311" t="str">
        <f>IF(P658&gt;0,"xy","")</f>
        <v/>
      </c>
      <c r="S661" s="378" t="str">
        <f t="shared" si="275"/>
        <v/>
      </c>
    </row>
    <row r="662" spans="2:19" hidden="1" x14ac:dyDescent="0.2">
      <c r="B662" s="731" t="s">
        <v>168</v>
      </c>
      <c r="C662" s="300"/>
      <c r="D662" s="417" t="s">
        <v>264</v>
      </c>
      <c r="E662" s="704"/>
      <c r="F662" s="661">
        <v>20</v>
      </c>
      <c r="G662" s="665">
        <f>SUM(G658:G661)</f>
        <v>1</v>
      </c>
      <c r="H662" s="664">
        <f>IF(F662&lt;=30,(1.05*F662+5.25)*G662,((1.05*30+5.25)+0.87*(F662-30))*G662)</f>
        <v>26.25</v>
      </c>
      <c r="I662" s="380">
        <v>0</v>
      </c>
      <c r="J662" s="380"/>
      <c r="K662" s="593">
        <f t="shared" si="252"/>
        <v>0</v>
      </c>
      <c r="L662" s="594" t="s">
        <v>755</v>
      </c>
      <c r="M662" s="699"/>
      <c r="N662" s="703">
        <v>0</v>
      </c>
      <c r="O662" s="287">
        <f t="shared" si="214"/>
        <v>0</v>
      </c>
      <c r="P662" s="384">
        <f t="shared" si="215"/>
        <v>0</v>
      </c>
      <c r="Q662" s="288"/>
      <c r="R662" s="311" t="str">
        <f>IF(P658&gt;0,"xy","")</f>
        <v/>
      </c>
      <c r="S662" s="378" t="str">
        <f t="shared" si="275"/>
        <v/>
      </c>
    </row>
    <row r="663" spans="2:19" ht="13.5" hidden="1" thickBot="1" x14ac:dyDescent="0.25">
      <c r="B663" s="763" t="s">
        <v>2072</v>
      </c>
      <c r="C663" s="753" t="s">
        <v>1947</v>
      </c>
      <c r="D663" s="712" t="s">
        <v>802</v>
      </c>
      <c r="E663" s="718"/>
      <c r="F663" s="666">
        <v>500</v>
      </c>
      <c r="G663" s="667">
        <v>1</v>
      </c>
      <c r="H663" s="668">
        <f>(0.82*F663+40.14)*G663</f>
        <v>450.14</v>
      </c>
      <c r="I663" s="657">
        <v>6287.6</v>
      </c>
      <c r="J663" s="657">
        <f>IF(ISBLANK(I663),"",I663*(1+$F$9)/(1+$F$10))+H663</f>
        <v>6449.0312662721899</v>
      </c>
      <c r="K663" s="619">
        <f t="shared" si="252"/>
        <v>8174.15</v>
      </c>
      <c r="L663" s="649" t="s">
        <v>20</v>
      </c>
      <c r="M663" s="695">
        <f>ROUND(M658*G658,2)</f>
        <v>0</v>
      </c>
      <c r="N663" s="700">
        <v>8174.15</v>
      </c>
      <c r="O663" s="425">
        <f t="shared" si="214"/>
        <v>0</v>
      </c>
      <c r="P663" s="426">
        <f t="shared" si="215"/>
        <v>0</v>
      </c>
      <c r="Q663" s="288"/>
      <c r="S663" s="378" t="str">
        <f t="shared" si="275"/>
        <v/>
      </c>
    </row>
    <row r="664" spans="2:19" hidden="1" x14ac:dyDescent="0.2">
      <c r="B664" s="787" t="s">
        <v>2073</v>
      </c>
      <c r="C664" s="709" t="s">
        <v>207</v>
      </c>
      <c r="D664" s="383" t="s">
        <v>291</v>
      </c>
      <c r="E664" s="796"/>
      <c r="F664" s="661">
        <v>20</v>
      </c>
      <c r="G664" s="701">
        <v>0.3</v>
      </c>
      <c r="H664" s="660">
        <f t="shared" ref="H664:H665" si="288">IF(F664&lt;=30,(1.05*F664+2.18)*G664,((1.05*30+2.18)+0.87*(F664-30))*G664)</f>
        <v>6.9539999999999997</v>
      </c>
      <c r="I664" s="631">
        <v>24.94</v>
      </c>
      <c r="J664" s="631">
        <f t="shared" ref="J664:J680" si="289">IF(ISBLANK(I664),"",SUM(H664:I664))</f>
        <v>31.894000000000002</v>
      </c>
      <c r="K664" s="593">
        <f t="shared" si="252"/>
        <v>40.43</v>
      </c>
      <c r="L664" s="594" t="s">
        <v>18</v>
      </c>
      <c r="M664" s="30"/>
      <c r="N664" s="30">
        <v>40.43</v>
      </c>
      <c r="O664" s="287">
        <f t="shared" ref="O664:O694" si="290">IF(ISBLANK(M664),0,ROUND(K664*M664,2))</f>
        <v>0</v>
      </c>
      <c r="P664" s="287">
        <f t="shared" ref="P664:P694" si="291">IF(ISBLANK(N664),0,ROUND(M664*N664,2))</f>
        <v>0</v>
      </c>
      <c r="Q664" s="288"/>
      <c r="R664" s="243"/>
      <c r="S664" s="378" t="str">
        <f t="shared" si="275"/>
        <v/>
      </c>
    </row>
    <row r="665" spans="2:19" hidden="1" x14ac:dyDescent="0.2">
      <c r="B665" s="730" t="s">
        <v>2074</v>
      </c>
      <c r="C665" s="300" t="s">
        <v>207</v>
      </c>
      <c r="D665" s="383" t="s">
        <v>292</v>
      </c>
      <c r="E665" s="704"/>
      <c r="F665" s="661">
        <v>20</v>
      </c>
      <c r="G665" s="701">
        <v>7.6999999999999999E-2</v>
      </c>
      <c r="H665" s="663">
        <f t="shared" si="288"/>
        <v>1.7848599999999999</v>
      </c>
      <c r="I665" s="631">
        <v>10.85</v>
      </c>
      <c r="J665" s="631">
        <f t="shared" si="289"/>
        <v>12.63486</v>
      </c>
      <c r="K665" s="593">
        <f t="shared" si="252"/>
        <v>16.010000000000002</v>
      </c>
      <c r="L665" s="594" t="s">
        <v>19</v>
      </c>
      <c r="M665" s="30"/>
      <c r="N665" s="30">
        <v>16.010000000000002</v>
      </c>
      <c r="O665" s="287">
        <f t="shared" si="290"/>
        <v>0</v>
      </c>
      <c r="P665" s="287">
        <f t="shared" si="291"/>
        <v>0</v>
      </c>
      <c r="Q665" s="288"/>
      <c r="R665" s="243"/>
      <c r="S665" s="378" t="str">
        <f t="shared" si="275"/>
        <v/>
      </c>
    </row>
    <row r="666" spans="2:19" hidden="1" x14ac:dyDescent="0.2">
      <c r="B666" s="730" t="s">
        <v>1737</v>
      </c>
      <c r="C666" s="300" t="s">
        <v>207</v>
      </c>
      <c r="D666" s="383" t="s">
        <v>293</v>
      </c>
      <c r="E666" s="704"/>
      <c r="F666" s="661"/>
      <c r="G666" s="701"/>
      <c r="H666" s="664"/>
      <c r="I666" s="631">
        <v>9.42</v>
      </c>
      <c r="J666" s="631">
        <f t="shared" si="289"/>
        <v>9.42</v>
      </c>
      <c r="K666" s="593">
        <f t="shared" si="252"/>
        <v>11.94</v>
      </c>
      <c r="L666" s="594" t="s">
        <v>18</v>
      </c>
      <c r="M666" s="30"/>
      <c r="N666" s="30">
        <v>11.94</v>
      </c>
      <c r="O666" s="287">
        <f t="shared" si="290"/>
        <v>0</v>
      </c>
      <c r="P666" s="287">
        <f t="shared" si="291"/>
        <v>0</v>
      </c>
      <c r="Q666" s="288"/>
      <c r="R666" s="243"/>
      <c r="S666" s="378" t="str">
        <f t="shared" si="275"/>
        <v/>
      </c>
    </row>
    <row r="667" spans="2:19" hidden="1" x14ac:dyDescent="0.2">
      <c r="B667" s="730" t="s">
        <v>1738</v>
      </c>
      <c r="C667" s="300" t="s">
        <v>207</v>
      </c>
      <c r="D667" s="383" t="s">
        <v>294</v>
      </c>
      <c r="E667" s="704"/>
      <c r="F667" s="661"/>
      <c r="G667" s="701"/>
      <c r="H667" s="664"/>
      <c r="I667" s="631">
        <v>13.188000000000001</v>
      </c>
      <c r="J667" s="631">
        <f t="shared" si="289"/>
        <v>13.188000000000001</v>
      </c>
      <c r="K667" s="593">
        <f t="shared" si="252"/>
        <v>16.72</v>
      </c>
      <c r="L667" s="594" t="s">
        <v>18</v>
      </c>
      <c r="M667" s="30"/>
      <c r="N667" s="30">
        <v>16.72</v>
      </c>
      <c r="O667" s="287">
        <f t="shared" si="290"/>
        <v>0</v>
      </c>
      <c r="P667" s="287">
        <f t="shared" si="291"/>
        <v>0</v>
      </c>
      <c r="Q667" s="288"/>
      <c r="R667" s="243"/>
      <c r="S667" s="378" t="str">
        <f t="shared" si="275"/>
        <v/>
      </c>
    </row>
    <row r="668" spans="2:19" hidden="1" x14ac:dyDescent="0.2">
      <c r="B668" s="730" t="s">
        <v>2075</v>
      </c>
      <c r="C668" s="300" t="s">
        <v>207</v>
      </c>
      <c r="D668" s="383" t="s">
        <v>242</v>
      </c>
      <c r="E668" s="704"/>
      <c r="F668" s="661">
        <v>20</v>
      </c>
      <c r="G668" s="665">
        <v>0.27200000000000002</v>
      </c>
      <c r="H668" s="663">
        <f t="shared" ref="H668:H681" si="292">IF(F668&lt;=30,(1.05*F668+2.18)*G668,((1.05*30+2.18)+0.87*(F668-30))*G668)</f>
        <v>6.3049600000000003</v>
      </c>
      <c r="I668" s="631">
        <v>102.88</v>
      </c>
      <c r="J668" s="631">
        <f t="shared" si="289"/>
        <v>109.18495999999999</v>
      </c>
      <c r="K668" s="593">
        <f t="shared" si="252"/>
        <v>138.38999999999999</v>
      </c>
      <c r="L668" s="594" t="s">
        <v>18</v>
      </c>
      <c r="M668" s="30"/>
      <c r="N668" s="30">
        <v>138.38999999999999</v>
      </c>
      <c r="O668" s="287">
        <f t="shared" si="290"/>
        <v>0</v>
      </c>
      <c r="P668" s="287">
        <f t="shared" si="291"/>
        <v>0</v>
      </c>
      <c r="Q668" s="288"/>
      <c r="R668" s="243"/>
      <c r="S668" s="378" t="str">
        <f t="shared" si="275"/>
        <v/>
      </c>
    </row>
    <row r="669" spans="2:19" hidden="1" x14ac:dyDescent="0.2">
      <c r="B669" s="730" t="s">
        <v>1746</v>
      </c>
      <c r="C669" s="300" t="s">
        <v>207</v>
      </c>
      <c r="D669" s="383" t="s">
        <v>243</v>
      </c>
      <c r="E669" s="704"/>
      <c r="F669" s="661">
        <v>20</v>
      </c>
      <c r="G669" s="665">
        <f>2*0.04</f>
        <v>0.08</v>
      </c>
      <c r="H669" s="663">
        <f t="shared" si="292"/>
        <v>1.8544</v>
      </c>
      <c r="I669" s="631">
        <v>51.096000000000004</v>
      </c>
      <c r="J669" s="631">
        <f t="shared" si="289"/>
        <v>52.950400000000002</v>
      </c>
      <c r="K669" s="593">
        <f t="shared" si="252"/>
        <v>67.11</v>
      </c>
      <c r="L669" s="594" t="s">
        <v>18</v>
      </c>
      <c r="M669" s="30"/>
      <c r="N669" s="30">
        <v>67.11</v>
      </c>
      <c r="O669" s="287">
        <f t="shared" si="290"/>
        <v>0</v>
      </c>
      <c r="P669" s="287">
        <f t="shared" si="291"/>
        <v>0</v>
      </c>
      <c r="Q669" s="288"/>
      <c r="R669" s="243"/>
      <c r="S669" s="378" t="str">
        <f t="shared" si="275"/>
        <v/>
      </c>
    </row>
    <row r="670" spans="2:19" hidden="1" x14ac:dyDescent="0.2">
      <c r="B670" s="730" t="s">
        <v>1747</v>
      </c>
      <c r="C670" s="300" t="s">
        <v>207</v>
      </c>
      <c r="D670" s="383" t="s">
        <v>244</v>
      </c>
      <c r="E670" s="704"/>
      <c r="F670" s="661">
        <v>20</v>
      </c>
      <c r="G670" s="665">
        <f>2*0.05</f>
        <v>0.1</v>
      </c>
      <c r="H670" s="663">
        <f t="shared" si="292"/>
        <v>2.3180000000000001</v>
      </c>
      <c r="I670" s="631">
        <v>57.48</v>
      </c>
      <c r="J670" s="631">
        <f t="shared" si="289"/>
        <v>59.797999999999995</v>
      </c>
      <c r="K670" s="593">
        <f t="shared" si="252"/>
        <v>75.790000000000006</v>
      </c>
      <c r="L670" s="594" t="s">
        <v>18</v>
      </c>
      <c r="M670" s="30"/>
      <c r="N670" s="30">
        <v>75.790000000000006</v>
      </c>
      <c r="O670" s="287">
        <f t="shared" si="290"/>
        <v>0</v>
      </c>
      <c r="P670" s="287">
        <f t="shared" si="291"/>
        <v>0</v>
      </c>
      <c r="Q670" s="288"/>
      <c r="R670" s="243"/>
      <c r="S670" s="378" t="str">
        <f t="shared" si="275"/>
        <v/>
      </c>
    </row>
    <row r="671" spans="2:19" hidden="1" x14ac:dyDescent="0.2">
      <c r="B671" s="730" t="s">
        <v>1748</v>
      </c>
      <c r="C671" s="300" t="s">
        <v>207</v>
      </c>
      <c r="D671" s="383" t="s">
        <v>245</v>
      </c>
      <c r="E671" s="704"/>
      <c r="F671" s="661">
        <v>20</v>
      </c>
      <c r="G671" s="665">
        <f>2*0.06</f>
        <v>0.12</v>
      </c>
      <c r="H671" s="663">
        <f t="shared" si="292"/>
        <v>2.7816000000000001</v>
      </c>
      <c r="I671" s="631">
        <v>63.87</v>
      </c>
      <c r="J671" s="631">
        <f t="shared" si="289"/>
        <v>66.651600000000002</v>
      </c>
      <c r="K671" s="593">
        <f t="shared" si="252"/>
        <v>84.48</v>
      </c>
      <c r="L671" s="594" t="s">
        <v>18</v>
      </c>
      <c r="M671" s="30"/>
      <c r="N671" s="30">
        <v>84.48</v>
      </c>
      <c r="O671" s="287">
        <f t="shared" si="290"/>
        <v>0</v>
      </c>
      <c r="P671" s="287">
        <f t="shared" si="291"/>
        <v>0</v>
      </c>
      <c r="Q671" s="288"/>
      <c r="R671" s="243"/>
      <c r="S671" s="378" t="str">
        <f t="shared" si="275"/>
        <v/>
      </c>
    </row>
    <row r="672" spans="2:19" hidden="1" x14ac:dyDescent="0.2">
      <c r="B672" s="730" t="s">
        <v>1749</v>
      </c>
      <c r="C672" s="300" t="s">
        <v>207</v>
      </c>
      <c r="D672" s="383" t="s">
        <v>246</v>
      </c>
      <c r="E672" s="704"/>
      <c r="F672" s="661">
        <v>20</v>
      </c>
      <c r="G672" s="665">
        <f>2*0.07</f>
        <v>0.14000000000000001</v>
      </c>
      <c r="H672" s="663">
        <f t="shared" si="292"/>
        <v>3.2452000000000001</v>
      </c>
      <c r="I672" s="631">
        <v>69.83</v>
      </c>
      <c r="J672" s="631">
        <f t="shared" si="289"/>
        <v>73.075199999999995</v>
      </c>
      <c r="K672" s="593">
        <f t="shared" si="252"/>
        <v>92.62</v>
      </c>
      <c r="L672" s="594" t="s">
        <v>18</v>
      </c>
      <c r="M672" s="30"/>
      <c r="N672" s="30">
        <v>92.62</v>
      </c>
      <c r="O672" s="287">
        <f t="shared" si="290"/>
        <v>0</v>
      </c>
      <c r="P672" s="287">
        <f t="shared" si="291"/>
        <v>0</v>
      </c>
      <c r="Q672" s="288"/>
      <c r="R672" s="243"/>
      <c r="S672" s="378" t="str">
        <f t="shared" si="275"/>
        <v/>
      </c>
    </row>
    <row r="673" spans="2:19" hidden="1" x14ac:dyDescent="0.2">
      <c r="B673" s="730" t="s">
        <v>1750</v>
      </c>
      <c r="C673" s="300" t="s">
        <v>207</v>
      </c>
      <c r="D673" s="383" t="s">
        <v>247</v>
      </c>
      <c r="E673" s="704"/>
      <c r="F673" s="661">
        <v>20</v>
      </c>
      <c r="G673" s="665">
        <f>2*0.08</f>
        <v>0.16</v>
      </c>
      <c r="H673" s="663">
        <f t="shared" si="292"/>
        <v>3.7088000000000001</v>
      </c>
      <c r="I673" s="631">
        <v>75.78</v>
      </c>
      <c r="J673" s="631">
        <f t="shared" si="289"/>
        <v>79.488799999999998</v>
      </c>
      <c r="K673" s="593">
        <f t="shared" si="252"/>
        <v>100.75</v>
      </c>
      <c r="L673" s="594" t="s">
        <v>18</v>
      </c>
      <c r="M673" s="30"/>
      <c r="N673" s="30">
        <v>100.75</v>
      </c>
      <c r="O673" s="287">
        <f t="shared" si="290"/>
        <v>0</v>
      </c>
      <c r="P673" s="287">
        <f t="shared" si="291"/>
        <v>0</v>
      </c>
      <c r="Q673" s="288"/>
      <c r="R673" s="243"/>
      <c r="S673" s="378" t="str">
        <f t="shared" si="275"/>
        <v/>
      </c>
    </row>
    <row r="674" spans="2:19" hidden="1" x14ac:dyDescent="0.2">
      <c r="B674" s="730" t="s">
        <v>1751</v>
      </c>
      <c r="C674" s="300" t="s">
        <v>207</v>
      </c>
      <c r="D674" s="383" t="s">
        <v>248</v>
      </c>
      <c r="E674" s="704"/>
      <c r="F674" s="661">
        <v>20</v>
      </c>
      <c r="G674" s="665">
        <f>2*0.1</f>
        <v>0.2</v>
      </c>
      <c r="H674" s="663">
        <f t="shared" si="292"/>
        <v>4.6360000000000001</v>
      </c>
      <c r="I674" s="631">
        <v>85.831689655172411</v>
      </c>
      <c r="J674" s="631">
        <f t="shared" si="289"/>
        <v>90.467689655172407</v>
      </c>
      <c r="K674" s="593">
        <f t="shared" si="252"/>
        <v>114.67</v>
      </c>
      <c r="L674" s="594" t="s">
        <v>18</v>
      </c>
      <c r="M674" s="30"/>
      <c r="N674" s="30">
        <v>114.67</v>
      </c>
      <c r="O674" s="287">
        <f t="shared" si="290"/>
        <v>0</v>
      </c>
      <c r="P674" s="287">
        <f t="shared" si="291"/>
        <v>0</v>
      </c>
      <c r="Q674" s="288"/>
      <c r="R674" s="243"/>
      <c r="S674" s="378" t="str">
        <f t="shared" si="275"/>
        <v/>
      </c>
    </row>
    <row r="675" spans="2:19" hidden="1" x14ac:dyDescent="0.2">
      <c r="B675" s="730" t="s">
        <v>1752</v>
      </c>
      <c r="C675" s="300" t="s">
        <v>207</v>
      </c>
      <c r="D675" s="383" t="s">
        <v>991</v>
      </c>
      <c r="E675" s="704"/>
      <c r="F675" s="661">
        <v>20</v>
      </c>
      <c r="G675" s="665">
        <v>0.14000000000000001</v>
      </c>
      <c r="H675" s="663">
        <f t="shared" si="292"/>
        <v>3.2452000000000001</v>
      </c>
      <c r="I675" s="631">
        <v>63.87</v>
      </c>
      <c r="J675" s="631">
        <f t="shared" si="289"/>
        <v>67.115200000000002</v>
      </c>
      <c r="K675" s="593">
        <f t="shared" si="252"/>
        <v>85.07</v>
      </c>
      <c r="L675" s="594" t="s">
        <v>18</v>
      </c>
      <c r="M675" s="30"/>
      <c r="N675" s="30">
        <v>85.07</v>
      </c>
      <c r="O675" s="287">
        <f t="shared" si="290"/>
        <v>0</v>
      </c>
      <c r="P675" s="287">
        <f t="shared" si="291"/>
        <v>0</v>
      </c>
      <c r="Q675" s="288"/>
      <c r="R675" s="243"/>
      <c r="S675" s="378" t="str">
        <f t="shared" si="275"/>
        <v/>
      </c>
    </row>
    <row r="676" spans="2:19" hidden="1" x14ac:dyDescent="0.2">
      <c r="B676" s="730" t="s">
        <v>1753</v>
      </c>
      <c r="C676" s="300" t="s">
        <v>207</v>
      </c>
      <c r="D676" s="383" t="s">
        <v>992</v>
      </c>
      <c r="E676" s="704"/>
      <c r="F676" s="661">
        <v>20</v>
      </c>
      <c r="G676" s="665">
        <v>0.14000000000000001</v>
      </c>
      <c r="H676" s="663">
        <f t="shared" si="292"/>
        <v>3.2452000000000001</v>
      </c>
      <c r="I676" s="631">
        <v>70.260000000000005</v>
      </c>
      <c r="J676" s="631">
        <f t="shared" si="289"/>
        <v>73.505200000000002</v>
      </c>
      <c r="K676" s="593">
        <f t="shared" si="252"/>
        <v>93.17</v>
      </c>
      <c r="L676" s="594" t="s">
        <v>18</v>
      </c>
      <c r="M676" s="30"/>
      <c r="N676" s="30">
        <v>93.17</v>
      </c>
      <c r="O676" s="287">
        <f t="shared" si="290"/>
        <v>0</v>
      </c>
      <c r="P676" s="287">
        <f t="shared" si="291"/>
        <v>0</v>
      </c>
      <c r="Q676" s="288"/>
      <c r="R676" s="243"/>
      <c r="S676" s="378" t="str">
        <f t="shared" si="275"/>
        <v/>
      </c>
    </row>
    <row r="677" spans="2:19" hidden="1" x14ac:dyDescent="0.2">
      <c r="B677" s="730" t="s">
        <v>234</v>
      </c>
      <c r="C677" s="300" t="s">
        <v>207</v>
      </c>
      <c r="D677" s="383" t="s">
        <v>993</v>
      </c>
      <c r="E677" s="704"/>
      <c r="F677" s="661">
        <v>20</v>
      </c>
      <c r="G677" s="665">
        <v>0.18</v>
      </c>
      <c r="H677" s="663">
        <f t="shared" si="292"/>
        <v>4.1723999999999997</v>
      </c>
      <c r="I677" s="631">
        <v>75.78</v>
      </c>
      <c r="J677" s="631">
        <f t="shared" si="289"/>
        <v>79.952399999999997</v>
      </c>
      <c r="K677" s="593">
        <f t="shared" si="252"/>
        <v>101.34</v>
      </c>
      <c r="L677" s="594" t="s">
        <v>18</v>
      </c>
      <c r="M677" s="30"/>
      <c r="N677" s="30">
        <v>101.34</v>
      </c>
      <c r="O677" s="287">
        <f t="shared" si="290"/>
        <v>0</v>
      </c>
      <c r="P677" s="287">
        <f t="shared" si="291"/>
        <v>0</v>
      </c>
      <c r="Q677" s="288"/>
      <c r="R677" s="243"/>
      <c r="S677" s="378" t="str">
        <f t="shared" si="275"/>
        <v/>
      </c>
    </row>
    <row r="678" spans="2:19" hidden="1" x14ac:dyDescent="0.2">
      <c r="B678" s="730" t="s">
        <v>235</v>
      </c>
      <c r="C678" s="300" t="s">
        <v>207</v>
      </c>
      <c r="D678" s="383" t="s">
        <v>994</v>
      </c>
      <c r="E678" s="704"/>
      <c r="F678" s="661">
        <v>20</v>
      </c>
      <c r="G678" s="665">
        <v>0.18</v>
      </c>
      <c r="H678" s="663">
        <f t="shared" si="292"/>
        <v>4.1723999999999997</v>
      </c>
      <c r="I678" s="631">
        <v>83.36</v>
      </c>
      <c r="J678" s="631">
        <f t="shared" si="289"/>
        <v>87.532399999999996</v>
      </c>
      <c r="K678" s="593">
        <f t="shared" si="252"/>
        <v>110.95</v>
      </c>
      <c r="L678" s="594" t="s">
        <v>18</v>
      </c>
      <c r="M678" s="30"/>
      <c r="N678" s="30">
        <v>110.95</v>
      </c>
      <c r="O678" s="287">
        <f t="shared" si="290"/>
        <v>0</v>
      </c>
      <c r="P678" s="287">
        <f t="shared" si="291"/>
        <v>0</v>
      </c>
      <c r="Q678" s="288"/>
      <c r="R678" s="243"/>
      <c r="S678" s="378" t="str">
        <f t="shared" si="275"/>
        <v/>
      </c>
    </row>
    <row r="679" spans="2:19" hidden="1" x14ac:dyDescent="0.2">
      <c r="B679" s="730" t="s">
        <v>1754</v>
      </c>
      <c r="C679" s="300" t="s">
        <v>207</v>
      </c>
      <c r="D679" s="383" t="s">
        <v>995</v>
      </c>
      <c r="E679" s="704"/>
      <c r="F679" s="661">
        <v>20</v>
      </c>
      <c r="G679" s="665">
        <v>0.22</v>
      </c>
      <c r="H679" s="663">
        <f t="shared" si="292"/>
        <v>5.0995999999999997</v>
      </c>
      <c r="I679" s="631">
        <v>85.831689655172411</v>
      </c>
      <c r="J679" s="631">
        <f t="shared" si="289"/>
        <v>90.931289655172407</v>
      </c>
      <c r="K679" s="593">
        <f t="shared" si="252"/>
        <v>115.26</v>
      </c>
      <c r="L679" s="594" t="s">
        <v>18</v>
      </c>
      <c r="M679" s="30"/>
      <c r="N679" s="30">
        <v>115.26</v>
      </c>
      <c r="O679" s="287">
        <f t="shared" si="290"/>
        <v>0</v>
      </c>
      <c r="P679" s="287">
        <f t="shared" si="291"/>
        <v>0</v>
      </c>
      <c r="Q679" s="288"/>
      <c r="R679" s="243"/>
      <c r="S679" s="378" t="str">
        <f t="shared" si="275"/>
        <v/>
      </c>
    </row>
    <row r="680" spans="2:19" hidden="1" x14ac:dyDescent="0.2">
      <c r="B680" s="730" t="s">
        <v>1755</v>
      </c>
      <c r="C680" s="300" t="s">
        <v>207</v>
      </c>
      <c r="D680" s="383" t="s">
        <v>996</v>
      </c>
      <c r="E680" s="704"/>
      <c r="F680" s="661">
        <v>20</v>
      </c>
      <c r="G680" s="665">
        <v>0.22</v>
      </c>
      <c r="H680" s="663">
        <f t="shared" si="292"/>
        <v>5.0995999999999997</v>
      </c>
      <c r="I680" s="631">
        <v>94.41</v>
      </c>
      <c r="J680" s="631">
        <f t="shared" si="289"/>
        <v>99.509599999999992</v>
      </c>
      <c r="K680" s="593">
        <f t="shared" si="252"/>
        <v>126.13</v>
      </c>
      <c r="L680" s="594" t="s">
        <v>18</v>
      </c>
      <c r="M680" s="30"/>
      <c r="N680" s="30">
        <v>126.13</v>
      </c>
      <c r="O680" s="287">
        <f t="shared" si="290"/>
        <v>0</v>
      </c>
      <c r="P680" s="287">
        <f t="shared" si="291"/>
        <v>0</v>
      </c>
      <c r="Q680" s="288"/>
      <c r="R680" s="243"/>
      <c r="S680" s="378" t="str">
        <f t="shared" si="275"/>
        <v/>
      </c>
    </row>
    <row r="681" spans="2:19" hidden="1" x14ac:dyDescent="0.2">
      <c r="B681" s="730" t="s">
        <v>1756</v>
      </c>
      <c r="C681" s="300" t="s">
        <v>817</v>
      </c>
      <c r="D681" s="383" t="s">
        <v>997</v>
      </c>
      <c r="E681" s="704"/>
      <c r="F681" s="661">
        <v>20</v>
      </c>
      <c r="G681" s="665">
        <v>0.3</v>
      </c>
      <c r="H681" s="790">
        <f t="shared" si="292"/>
        <v>6.9539999999999997</v>
      </c>
      <c r="I681" s="631">
        <v>161.44</v>
      </c>
      <c r="J681" s="631">
        <f t="shared" ref="J681:J694" si="293">IF(ISBLANK(I681),"",SUM(H681:I681))</f>
        <v>168.39400000000001</v>
      </c>
      <c r="K681" s="593">
        <f t="shared" si="252"/>
        <v>213.44</v>
      </c>
      <c r="L681" s="594" t="s">
        <v>18</v>
      </c>
      <c r="M681" s="30"/>
      <c r="N681" s="30">
        <v>213.44</v>
      </c>
      <c r="O681" s="287">
        <f t="shared" si="290"/>
        <v>0</v>
      </c>
      <c r="P681" s="287">
        <f t="shared" si="291"/>
        <v>0</v>
      </c>
      <c r="Q681" s="288"/>
      <c r="R681" s="243"/>
      <c r="S681" s="378" t="str">
        <f t="shared" si="275"/>
        <v/>
      </c>
    </row>
    <row r="682" spans="2:19" hidden="1" x14ac:dyDescent="0.2">
      <c r="B682" s="730">
        <v>98509</v>
      </c>
      <c r="C682" s="300" t="s">
        <v>817</v>
      </c>
      <c r="D682" s="383" t="s">
        <v>1011</v>
      </c>
      <c r="E682" s="704"/>
      <c r="F682" s="661"/>
      <c r="G682" s="665"/>
      <c r="H682" s="664">
        <v>0</v>
      </c>
      <c r="I682" s="631">
        <v>26.49</v>
      </c>
      <c r="J682" s="631">
        <f t="shared" si="293"/>
        <v>26.49</v>
      </c>
      <c r="K682" s="593">
        <f t="shared" si="252"/>
        <v>33.58</v>
      </c>
      <c r="L682" s="594" t="s">
        <v>18</v>
      </c>
      <c r="M682" s="30"/>
      <c r="N682" s="30">
        <v>33.58</v>
      </c>
      <c r="O682" s="287">
        <f t="shared" si="290"/>
        <v>0</v>
      </c>
      <c r="P682" s="287">
        <f t="shared" si="291"/>
        <v>0</v>
      </c>
      <c r="Q682" s="288"/>
      <c r="R682" s="243"/>
      <c r="S682" s="378" t="str">
        <f t="shared" si="275"/>
        <v/>
      </c>
    </row>
    <row r="683" spans="2:19" hidden="1" x14ac:dyDescent="0.2">
      <c r="B683" s="730">
        <v>98510</v>
      </c>
      <c r="C683" s="300" t="s">
        <v>817</v>
      </c>
      <c r="D683" s="383" t="s">
        <v>1012</v>
      </c>
      <c r="E683" s="704"/>
      <c r="F683" s="661"/>
      <c r="G683" s="665"/>
      <c r="H683" s="664">
        <v>0</v>
      </c>
      <c r="I683" s="631">
        <v>48.32</v>
      </c>
      <c r="J683" s="631">
        <f t="shared" si="293"/>
        <v>48.32</v>
      </c>
      <c r="K683" s="593">
        <f t="shared" si="252"/>
        <v>61.25</v>
      </c>
      <c r="L683" s="594" t="s">
        <v>18</v>
      </c>
      <c r="M683" s="30"/>
      <c r="N683" s="30">
        <v>61.25</v>
      </c>
      <c r="O683" s="287">
        <f t="shared" si="290"/>
        <v>0</v>
      </c>
      <c r="P683" s="287">
        <f t="shared" si="291"/>
        <v>0</v>
      </c>
      <c r="Q683" s="288"/>
      <c r="R683" s="243"/>
      <c r="S683" s="378" t="str">
        <f t="shared" si="275"/>
        <v/>
      </c>
    </row>
    <row r="684" spans="2:19" hidden="1" x14ac:dyDescent="0.2">
      <c r="B684" s="730">
        <v>98511</v>
      </c>
      <c r="C684" s="300" t="s">
        <v>817</v>
      </c>
      <c r="D684" s="383" t="s">
        <v>1013</v>
      </c>
      <c r="E684" s="704"/>
      <c r="F684" s="661"/>
      <c r="G684" s="665"/>
      <c r="H684" s="664">
        <v>0</v>
      </c>
      <c r="I684" s="631">
        <v>86.76</v>
      </c>
      <c r="J684" s="631">
        <f t="shared" ref="J684:J685" si="294">IF(ISBLANK(I684),"",SUM(H684:I684))</f>
        <v>86.76</v>
      </c>
      <c r="K684" s="593">
        <f t="shared" si="252"/>
        <v>109.97</v>
      </c>
      <c r="L684" s="594" t="s">
        <v>18</v>
      </c>
      <c r="M684" s="30"/>
      <c r="N684" s="30">
        <v>109.97</v>
      </c>
      <c r="O684" s="287">
        <f t="shared" si="290"/>
        <v>0</v>
      </c>
      <c r="P684" s="287">
        <f t="shared" si="291"/>
        <v>0</v>
      </c>
      <c r="Q684" s="288"/>
      <c r="R684" s="243"/>
      <c r="S684" s="378" t="str">
        <f t="shared" si="275"/>
        <v/>
      </c>
    </row>
    <row r="685" spans="2:19" hidden="1" x14ac:dyDescent="0.2">
      <c r="B685" s="730">
        <v>98516</v>
      </c>
      <c r="C685" s="300" t="s">
        <v>817</v>
      </c>
      <c r="D685" s="383" t="s">
        <v>1014</v>
      </c>
      <c r="E685" s="704"/>
      <c r="F685" s="661"/>
      <c r="G685" s="665"/>
      <c r="H685" s="664">
        <v>0</v>
      </c>
      <c r="I685" s="631">
        <v>297.60000000000002</v>
      </c>
      <c r="J685" s="631">
        <f t="shared" si="294"/>
        <v>297.60000000000002</v>
      </c>
      <c r="K685" s="593">
        <f t="shared" si="252"/>
        <v>377.21</v>
      </c>
      <c r="L685" s="594" t="s">
        <v>18</v>
      </c>
      <c r="M685" s="30"/>
      <c r="N685" s="30">
        <v>377.21</v>
      </c>
      <c r="O685" s="287">
        <f t="shared" si="290"/>
        <v>0</v>
      </c>
      <c r="P685" s="287">
        <f t="shared" si="291"/>
        <v>0</v>
      </c>
      <c r="Q685" s="288"/>
      <c r="R685" s="243"/>
      <c r="S685" s="378" t="str">
        <f t="shared" si="275"/>
        <v/>
      </c>
    </row>
    <row r="686" spans="2:19" hidden="1" x14ac:dyDescent="0.2">
      <c r="B686" s="730">
        <v>98504</v>
      </c>
      <c r="C686" s="300" t="s">
        <v>817</v>
      </c>
      <c r="D686" s="383" t="s">
        <v>508</v>
      </c>
      <c r="E686" s="704"/>
      <c r="F686" s="661"/>
      <c r="G686" s="665"/>
      <c r="H686" s="664">
        <v>0</v>
      </c>
      <c r="I686" s="631">
        <v>10.91</v>
      </c>
      <c r="J686" s="631">
        <f t="shared" si="293"/>
        <v>10.91</v>
      </c>
      <c r="K686" s="593">
        <f t="shared" si="252"/>
        <v>13.83</v>
      </c>
      <c r="L686" s="594" t="s">
        <v>18</v>
      </c>
      <c r="M686" s="30"/>
      <c r="N686" s="30">
        <v>13.83</v>
      </c>
      <c r="O686" s="287">
        <f t="shared" si="290"/>
        <v>0</v>
      </c>
      <c r="P686" s="287">
        <f t="shared" si="291"/>
        <v>0</v>
      </c>
      <c r="Q686" s="288"/>
      <c r="R686" s="243"/>
      <c r="S686" s="378" t="str">
        <f t="shared" si="275"/>
        <v/>
      </c>
    </row>
    <row r="687" spans="2:19" hidden="1" x14ac:dyDescent="0.2">
      <c r="B687" s="730">
        <v>98505</v>
      </c>
      <c r="C687" s="300" t="s">
        <v>817</v>
      </c>
      <c r="D687" s="383" t="s">
        <v>1015</v>
      </c>
      <c r="E687" s="704"/>
      <c r="F687" s="661"/>
      <c r="G687" s="665"/>
      <c r="H687" s="664">
        <v>0</v>
      </c>
      <c r="I687" s="631">
        <v>39.06</v>
      </c>
      <c r="J687" s="631">
        <f t="shared" si="293"/>
        <v>39.06</v>
      </c>
      <c r="K687" s="593">
        <f t="shared" si="252"/>
        <v>49.51</v>
      </c>
      <c r="L687" s="594" t="s">
        <v>18</v>
      </c>
      <c r="M687" s="30"/>
      <c r="N687" s="30">
        <v>49.51</v>
      </c>
      <c r="O687" s="287">
        <f t="shared" si="290"/>
        <v>0</v>
      </c>
      <c r="P687" s="287">
        <f t="shared" si="291"/>
        <v>0</v>
      </c>
      <c r="Q687" s="288"/>
      <c r="R687" s="243"/>
      <c r="S687" s="378" t="str">
        <f t="shared" si="275"/>
        <v/>
      </c>
    </row>
    <row r="688" spans="2:19" hidden="1" x14ac:dyDescent="0.2">
      <c r="B688" s="730">
        <v>800000</v>
      </c>
      <c r="C688" s="300" t="s">
        <v>207</v>
      </c>
      <c r="D688" s="383" t="s">
        <v>509</v>
      </c>
      <c r="E688" s="704"/>
      <c r="F688" s="661"/>
      <c r="G688" s="665"/>
      <c r="H688" s="664">
        <v>0</v>
      </c>
      <c r="I688" s="631">
        <v>11.37</v>
      </c>
      <c r="J688" s="631">
        <f t="shared" ref="J688" si="295">IF(ISBLANK(I688),"",SUM(H688:I688))</f>
        <v>11.37</v>
      </c>
      <c r="K688" s="593">
        <f t="shared" si="252"/>
        <v>14.41</v>
      </c>
      <c r="L688" s="594" t="s">
        <v>18</v>
      </c>
      <c r="M688" s="30"/>
      <c r="N688" s="30">
        <v>14.41</v>
      </c>
      <c r="O688" s="287">
        <f t="shared" si="290"/>
        <v>0</v>
      </c>
      <c r="P688" s="287">
        <f t="shared" si="291"/>
        <v>0</v>
      </c>
      <c r="Q688" s="288"/>
      <c r="R688" s="243"/>
      <c r="S688" s="378" t="str">
        <f t="shared" si="275"/>
        <v/>
      </c>
    </row>
    <row r="689" spans="2:19" hidden="1" x14ac:dyDescent="0.2">
      <c r="B689" s="730" t="s">
        <v>314</v>
      </c>
      <c r="C689" s="300" t="s">
        <v>207</v>
      </c>
      <c r="D689" s="383" t="s">
        <v>297</v>
      </c>
      <c r="E689" s="704"/>
      <c r="F689" s="661"/>
      <c r="G689" s="665"/>
      <c r="H689" s="664"/>
      <c r="I689" s="631">
        <v>0</v>
      </c>
      <c r="J689" s="631">
        <f t="shared" si="293"/>
        <v>0</v>
      </c>
      <c r="K689" s="593">
        <f t="shared" si="252"/>
        <v>0</v>
      </c>
      <c r="L689" s="594" t="s">
        <v>18</v>
      </c>
      <c r="M689" s="30"/>
      <c r="N689" s="30">
        <v>0</v>
      </c>
      <c r="O689" s="287">
        <f t="shared" si="290"/>
        <v>0</v>
      </c>
      <c r="P689" s="287">
        <f t="shared" si="291"/>
        <v>0</v>
      </c>
      <c r="Q689" s="288"/>
      <c r="R689" s="243"/>
      <c r="S689" s="378" t="str">
        <f t="shared" si="275"/>
        <v/>
      </c>
    </row>
    <row r="690" spans="2:19" hidden="1" x14ac:dyDescent="0.2">
      <c r="B690" s="730" t="s">
        <v>1823</v>
      </c>
      <c r="C690" s="300" t="s">
        <v>207</v>
      </c>
      <c r="D690" s="383" t="s">
        <v>298</v>
      </c>
      <c r="E690" s="704"/>
      <c r="F690" s="661"/>
      <c r="G690" s="665"/>
      <c r="H690" s="664"/>
      <c r="I690" s="631">
        <v>443.34347362537761</v>
      </c>
      <c r="J690" s="631">
        <f t="shared" si="293"/>
        <v>443.34347362537761</v>
      </c>
      <c r="K690" s="593">
        <f t="shared" si="252"/>
        <v>561.94000000000005</v>
      </c>
      <c r="L690" s="594" t="s">
        <v>21</v>
      </c>
      <c r="M690" s="30"/>
      <c r="N690" s="30">
        <v>561.94000000000005</v>
      </c>
      <c r="O690" s="287">
        <f t="shared" si="290"/>
        <v>0</v>
      </c>
      <c r="P690" s="287">
        <f t="shared" si="291"/>
        <v>0</v>
      </c>
      <c r="Q690" s="288"/>
      <c r="R690" s="243"/>
      <c r="S690" s="378" t="str">
        <f t="shared" si="275"/>
        <v/>
      </c>
    </row>
    <row r="691" spans="2:19" hidden="1" x14ac:dyDescent="0.2">
      <c r="B691" s="730" t="s">
        <v>1824</v>
      </c>
      <c r="C691" s="300" t="s">
        <v>207</v>
      </c>
      <c r="D691" s="383" t="s">
        <v>299</v>
      </c>
      <c r="E691" s="704"/>
      <c r="F691" s="661"/>
      <c r="G691" s="665"/>
      <c r="H691" s="664"/>
      <c r="I691" s="631">
        <v>443.34347362537761</v>
      </c>
      <c r="J691" s="631">
        <f t="shared" si="293"/>
        <v>443.34347362537761</v>
      </c>
      <c r="K691" s="593">
        <f t="shared" si="252"/>
        <v>561.94000000000005</v>
      </c>
      <c r="L691" s="594" t="s">
        <v>21</v>
      </c>
      <c r="M691" s="30"/>
      <c r="N691" s="30">
        <v>561.94000000000005</v>
      </c>
      <c r="O691" s="287">
        <f t="shared" si="290"/>
        <v>0</v>
      </c>
      <c r="P691" s="287">
        <f t="shared" si="291"/>
        <v>0</v>
      </c>
      <c r="Q691" s="288"/>
      <c r="R691" s="243"/>
      <c r="S691" s="378" t="str">
        <f t="shared" si="275"/>
        <v/>
      </c>
    </row>
    <row r="692" spans="2:19" hidden="1" x14ac:dyDescent="0.2">
      <c r="B692" s="730" t="s">
        <v>1825</v>
      </c>
      <c r="C692" s="300" t="s">
        <v>207</v>
      </c>
      <c r="D692" s="383" t="s">
        <v>300</v>
      </c>
      <c r="E692" s="704"/>
      <c r="F692" s="661"/>
      <c r="G692" s="665"/>
      <c r="H692" s="664"/>
      <c r="I692" s="631">
        <v>443.34347362537761</v>
      </c>
      <c r="J692" s="631">
        <f t="shared" si="293"/>
        <v>443.34347362537761</v>
      </c>
      <c r="K692" s="593">
        <f t="shared" si="252"/>
        <v>561.94000000000005</v>
      </c>
      <c r="L692" s="594" t="s">
        <v>21</v>
      </c>
      <c r="M692" s="30"/>
      <c r="N692" s="30">
        <v>561.94000000000005</v>
      </c>
      <c r="O692" s="287">
        <f t="shared" si="290"/>
        <v>0</v>
      </c>
      <c r="P692" s="287">
        <f t="shared" si="291"/>
        <v>0</v>
      </c>
      <c r="Q692" s="288"/>
      <c r="R692" s="243"/>
      <c r="S692" s="378" t="str">
        <f t="shared" si="275"/>
        <v/>
      </c>
    </row>
    <row r="693" spans="2:19" hidden="1" x14ac:dyDescent="0.2">
      <c r="B693" s="730" t="s">
        <v>1826</v>
      </c>
      <c r="C693" s="300" t="s">
        <v>207</v>
      </c>
      <c r="D693" s="383" t="s">
        <v>301</v>
      </c>
      <c r="E693" s="704"/>
      <c r="F693" s="661"/>
      <c r="G693" s="665"/>
      <c r="H693" s="664"/>
      <c r="I693" s="631">
        <v>583.65980377945618</v>
      </c>
      <c r="J693" s="631">
        <f t="shared" si="293"/>
        <v>583.65980377945618</v>
      </c>
      <c r="K693" s="593">
        <f t="shared" si="252"/>
        <v>739.79</v>
      </c>
      <c r="L693" s="594" t="s">
        <v>21</v>
      </c>
      <c r="M693" s="30"/>
      <c r="N693" s="30">
        <v>739.79</v>
      </c>
      <c r="O693" s="287">
        <f t="shared" si="290"/>
        <v>0</v>
      </c>
      <c r="P693" s="287">
        <f t="shared" si="291"/>
        <v>0</v>
      </c>
      <c r="Q693" s="288"/>
      <c r="R693" s="243"/>
      <c r="S693" s="378" t="str">
        <f t="shared" si="275"/>
        <v/>
      </c>
    </row>
    <row r="694" spans="2:19" hidden="1" x14ac:dyDescent="0.2">
      <c r="B694" s="730" t="s">
        <v>1827</v>
      </c>
      <c r="C694" s="300" t="s">
        <v>207</v>
      </c>
      <c r="D694" s="383" t="s">
        <v>302</v>
      </c>
      <c r="E694" s="704"/>
      <c r="F694" s="661"/>
      <c r="G694" s="665"/>
      <c r="H694" s="664"/>
      <c r="I694" s="631">
        <v>509.86725541389728</v>
      </c>
      <c r="J694" s="631">
        <f t="shared" si="293"/>
        <v>509.86725541389728</v>
      </c>
      <c r="K694" s="593">
        <f t="shared" si="252"/>
        <v>646.26</v>
      </c>
      <c r="L694" s="594" t="s">
        <v>21</v>
      </c>
      <c r="M694" s="30"/>
      <c r="N694" s="30">
        <v>646.26</v>
      </c>
      <c r="O694" s="287">
        <f t="shared" si="290"/>
        <v>0</v>
      </c>
      <c r="P694" s="287">
        <f t="shared" si="291"/>
        <v>0</v>
      </c>
      <c r="Q694" s="288"/>
      <c r="R694" s="243"/>
      <c r="S694" s="378" t="str">
        <f t="shared" si="275"/>
        <v/>
      </c>
    </row>
    <row r="695" spans="2:19" hidden="1" x14ac:dyDescent="0.2">
      <c r="B695" s="608" t="s">
        <v>188</v>
      </c>
      <c r="C695" s="638"/>
      <c r="D695" s="386" t="s">
        <v>1900</v>
      </c>
      <c r="E695" s="387"/>
      <c r="F695" s="388"/>
      <c r="G695" s="389"/>
      <c r="H695" s="390"/>
      <c r="I695" s="391"/>
      <c r="J695" s="391"/>
      <c r="K695" s="391"/>
      <c r="L695" s="391" t="s">
        <v>755</v>
      </c>
      <c r="M695" s="390"/>
      <c r="N695" s="391"/>
      <c r="O695" s="391"/>
      <c r="P695" s="392"/>
      <c r="Q695" s="288"/>
      <c r="R695" s="377" t="str">
        <f>IF(SUM(P696:P727)&gt;0,"y","")</f>
        <v/>
      </c>
      <c r="S695" s="378" t="str">
        <f t="shared" si="275"/>
        <v/>
      </c>
    </row>
    <row r="696" spans="2:19" hidden="1" x14ac:dyDescent="0.2">
      <c r="B696" s="609" t="s">
        <v>188</v>
      </c>
      <c r="C696" s="746" t="s">
        <v>188</v>
      </c>
      <c r="D696" s="393"/>
      <c r="E696" s="394"/>
      <c r="F696" s="402"/>
      <c r="G696" s="396"/>
      <c r="H696" s="395"/>
      <c r="I696" s="397"/>
      <c r="J696" s="398"/>
      <c r="K696" s="399">
        <f t="shared" ref="K696:K727" si="296">IF(ISBLANK(J696),0,ROUND(J696*(1+$F$10)*(1+$F$11*E696),2))</f>
        <v>0</v>
      </c>
      <c r="L696" s="400" t="s">
        <v>755</v>
      </c>
      <c r="M696" s="415"/>
      <c r="N696" s="415">
        <v>0</v>
      </c>
      <c r="O696" s="287">
        <f t="shared" ref="O696" si="297">IF(ISBLANK(M696),0,ROUND(K696*M696,2))</f>
        <v>0</v>
      </c>
      <c r="P696" s="384">
        <f t="shared" ref="P696:P727" si="298">IF(ISBLANK(N696),0,ROUND(M696*N696,2))</f>
        <v>0</v>
      </c>
      <c r="Q696" s="288"/>
      <c r="R696" s="243"/>
      <c r="S696" s="378" t="str">
        <f t="shared" si="275"/>
        <v/>
      </c>
    </row>
    <row r="697" spans="2:19" hidden="1" x14ac:dyDescent="0.2">
      <c r="B697" s="609" t="s">
        <v>188</v>
      </c>
      <c r="C697" s="746" t="s">
        <v>188</v>
      </c>
      <c r="D697" s="401"/>
      <c r="E697" s="394"/>
      <c r="F697" s="402"/>
      <c r="G697" s="396"/>
      <c r="H697" s="395"/>
      <c r="I697" s="397"/>
      <c r="J697" s="398"/>
      <c r="K697" s="403">
        <f t="shared" si="296"/>
        <v>0</v>
      </c>
      <c r="L697" s="400" t="s">
        <v>755</v>
      </c>
      <c r="M697" s="30"/>
      <c r="N697" s="30">
        <v>0</v>
      </c>
      <c r="O697" s="287">
        <f>IF(ISBLANK(M697),0,ROUND(K697*M697,2))</f>
        <v>0</v>
      </c>
      <c r="P697" s="287">
        <f t="shared" si="298"/>
        <v>0</v>
      </c>
      <c r="Q697" s="288"/>
      <c r="R697" s="243"/>
      <c r="S697" s="378" t="str">
        <f t="shared" si="275"/>
        <v/>
      </c>
    </row>
    <row r="698" spans="2:19" hidden="1" x14ac:dyDescent="0.2">
      <c r="B698" s="609" t="s">
        <v>188</v>
      </c>
      <c r="C698" s="746" t="s">
        <v>188</v>
      </c>
      <c r="D698" s="401"/>
      <c r="E698" s="394"/>
      <c r="F698" s="402"/>
      <c r="G698" s="396"/>
      <c r="H698" s="395"/>
      <c r="I698" s="397"/>
      <c r="J698" s="398"/>
      <c r="K698" s="403">
        <f t="shared" si="296"/>
        <v>0</v>
      </c>
      <c r="L698" s="400" t="s">
        <v>755</v>
      </c>
      <c r="M698" s="30"/>
      <c r="N698" s="30">
        <v>0</v>
      </c>
      <c r="O698" s="287">
        <f t="shared" ref="O698:O727" si="299">IF(ISBLANK(M698),0,ROUND(K698*M698,2))</f>
        <v>0</v>
      </c>
      <c r="P698" s="287">
        <f t="shared" si="298"/>
        <v>0</v>
      </c>
      <c r="Q698" s="288"/>
      <c r="R698" s="243"/>
      <c r="S698" s="378" t="str">
        <f t="shared" si="275"/>
        <v/>
      </c>
    </row>
    <row r="699" spans="2:19" hidden="1" x14ac:dyDescent="0.2">
      <c r="B699" s="609" t="s">
        <v>188</v>
      </c>
      <c r="C699" s="746" t="s">
        <v>188</v>
      </c>
      <c r="D699" s="401"/>
      <c r="E699" s="394"/>
      <c r="F699" s="402"/>
      <c r="G699" s="396"/>
      <c r="H699" s="395"/>
      <c r="I699" s="397"/>
      <c r="J699" s="398"/>
      <c r="K699" s="403">
        <f t="shared" si="296"/>
        <v>0</v>
      </c>
      <c r="L699" s="400" t="s">
        <v>755</v>
      </c>
      <c r="M699" s="30"/>
      <c r="N699" s="30">
        <v>0</v>
      </c>
      <c r="O699" s="287">
        <f t="shared" si="299"/>
        <v>0</v>
      </c>
      <c r="P699" s="287">
        <f t="shared" si="298"/>
        <v>0</v>
      </c>
      <c r="Q699" s="288"/>
      <c r="R699" s="243"/>
      <c r="S699" s="378" t="str">
        <f t="shared" si="275"/>
        <v/>
      </c>
    </row>
    <row r="700" spans="2:19" hidden="1" x14ac:dyDescent="0.2">
      <c r="B700" s="609" t="s">
        <v>188</v>
      </c>
      <c r="C700" s="746" t="s">
        <v>188</v>
      </c>
      <c r="D700" s="401"/>
      <c r="E700" s="394"/>
      <c r="F700" s="402"/>
      <c r="G700" s="396"/>
      <c r="H700" s="395"/>
      <c r="I700" s="397"/>
      <c r="J700" s="398"/>
      <c r="K700" s="403">
        <f t="shared" si="296"/>
        <v>0</v>
      </c>
      <c r="L700" s="400" t="s">
        <v>755</v>
      </c>
      <c r="M700" s="30"/>
      <c r="N700" s="30">
        <v>0</v>
      </c>
      <c r="O700" s="287">
        <f t="shared" si="299"/>
        <v>0</v>
      </c>
      <c r="P700" s="287">
        <f t="shared" si="298"/>
        <v>0</v>
      </c>
      <c r="Q700" s="288"/>
      <c r="R700" s="243"/>
      <c r="S700" s="378" t="str">
        <f t="shared" si="275"/>
        <v/>
      </c>
    </row>
    <row r="701" spans="2:19" hidden="1" x14ac:dyDescent="0.2">
      <c r="B701" s="609" t="s">
        <v>188</v>
      </c>
      <c r="C701" s="746" t="s">
        <v>188</v>
      </c>
      <c r="D701" s="401"/>
      <c r="E701" s="394"/>
      <c r="F701" s="402"/>
      <c r="G701" s="396"/>
      <c r="H701" s="395"/>
      <c r="I701" s="397"/>
      <c r="J701" s="398"/>
      <c r="K701" s="403">
        <f t="shared" si="296"/>
        <v>0</v>
      </c>
      <c r="L701" s="400" t="s">
        <v>755</v>
      </c>
      <c r="M701" s="30"/>
      <c r="N701" s="30">
        <v>0</v>
      </c>
      <c r="O701" s="287">
        <f t="shared" si="299"/>
        <v>0</v>
      </c>
      <c r="P701" s="287">
        <f t="shared" si="298"/>
        <v>0</v>
      </c>
      <c r="Q701" s="288"/>
      <c r="R701" s="243"/>
      <c r="S701" s="378" t="str">
        <f t="shared" si="275"/>
        <v/>
      </c>
    </row>
    <row r="702" spans="2:19" hidden="1" x14ac:dyDescent="0.2">
      <c r="B702" s="609" t="s">
        <v>188</v>
      </c>
      <c r="C702" s="746" t="s">
        <v>188</v>
      </c>
      <c r="D702" s="401"/>
      <c r="E702" s="394"/>
      <c r="F702" s="402"/>
      <c r="G702" s="396"/>
      <c r="H702" s="395"/>
      <c r="I702" s="397"/>
      <c r="J702" s="398"/>
      <c r="K702" s="403">
        <f t="shared" si="296"/>
        <v>0</v>
      </c>
      <c r="L702" s="400" t="s">
        <v>755</v>
      </c>
      <c r="M702" s="30"/>
      <c r="N702" s="30">
        <v>0</v>
      </c>
      <c r="O702" s="287">
        <f t="shared" si="299"/>
        <v>0</v>
      </c>
      <c r="P702" s="287">
        <f t="shared" si="298"/>
        <v>0</v>
      </c>
      <c r="Q702" s="288"/>
      <c r="R702" s="243"/>
      <c r="S702" s="378" t="str">
        <f t="shared" si="275"/>
        <v/>
      </c>
    </row>
    <row r="703" spans="2:19" hidden="1" x14ac:dyDescent="0.2">
      <c r="B703" s="609" t="s">
        <v>188</v>
      </c>
      <c r="C703" s="746" t="s">
        <v>188</v>
      </c>
      <c r="D703" s="401"/>
      <c r="E703" s="394"/>
      <c r="F703" s="402"/>
      <c r="G703" s="396"/>
      <c r="H703" s="395"/>
      <c r="I703" s="397"/>
      <c r="J703" s="398"/>
      <c r="K703" s="403">
        <f t="shared" si="296"/>
        <v>0</v>
      </c>
      <c r="L703" s="400" t="s">
        <v>755</v>
      </c>
      <c r="M703" s="30"/>
      <c r="N703" s="30">
        <v>0</v>
      </c>
      <c r="O703" s="287">
        <f t="shared" si="299"/>
        <v>0</v>
      </c>
      <c r="P703" s="287">
        <f t="shared" si="298"/>
        <v>0</v>
      </c>
      <c r="Q703" s="288"/>
      <c r="R703" s="243"/>
      <c r="S703" s="378" t="str">
        <f t="shared" ref="S703:S766" si="300">IF(R703="x","x",IF(R703="y","x",IF(R703="xy","x",IF(P703&gt;0,"x",""))))</f>
        <v/>
      </c>
    </row>
    <row r="704" spans="2:19" hidden="1" x14ac:dyDescent="0.2">
      <c r="B704" s="609" t="s">
        <v>188</v>
      </c>
      <c r="C704" s="746" t="s">
        <v>188</v>
      </c>
      <c r="D704" s="401"/>
      <c r="E704" s="394"/>
      <c r="F704" s="402"/>
      <c r="G704" s="396"/>
      <c r="H704" s="395"/>
      <c r="I704" s="397"/>
      <c r="J704" s="398"/>
      <c r="K704" s="403">
        <f t="shared" si="296"/>
        <v>0</v>
      </c>
      <c r="L704" s="400" t="s">
        <v>755</v>
      </c>
      <c r="M704" s="30"/>
      <c r="N704" s="30">
        <v>0</v>
      </c>
      <c r="O704" s="287">
        <f t="shared" si="299"/>
        <v>0</v>
      </c>
      <c r="P704" s="287">
        <f t="shared" si="298"/>
        <v>0</v>
      </c>
      <c r="Q704" s="288"/>
      <c r="R704" s="243"/>
      <c r="S704" s="378" t="str">
        <f t="shared" si="300"/>
        <v/>
      </c>
    </row>
    <row r="705" spans="2:19" hidden="1" x14ac:dyDescent="0.2">
      <c r="B705" s="609" t="s">
        <v>188</v>
      </c>
      <c r="C705" s="746" t="s">
        <v>188</v>
      </c>
      <c r="D705" s="401"/>
      <c r="E705" s="394"/>
      <c r="F705" s="402"/>
      <c r="G705" s="396"/>
      <c r="H705" s="395"/>
      <c r="I705" s="397"/>
      <c r="J705" s="398"/>
      <c r="K705" s="403">
        <f t="shared" si="296"/>
        <v>0</v>
      </c>
      <c r="L705" s="400" t="s">
        <v>755</v>
      </c>
      <c r="M705" s="30"/>
      <c r="N705" s="30">
        <v>0</v>
      </c>
      <c r="O705" s="287">
        <f t="shared" si="299"/>
        <v>0</v>
      </c>
      <c r="P705" s="287">
        <f t="shared" si="298"/>
        <v>0</v>
      </c>
      <c r="Q705" s="288"/>
      <c r="R705" s="243"/>
      <c r="S705" s="378" t="str">
        <f t="shared" si="300"/>
        <v/>
      </c>
    </row>
    <row r="706" spans="2:19" hidden="1" x14ac:dyDescent="0.2">
      <c r="B706" s="609" t="s">
        <v>188</v>
      </c>
      <c r="C706" s="746" t="s">
        <v>188</v>
      </c>
      <c r="D706" s="401"/>
      <c r="E706" s="394"/>
      <c r="F706" s="402"/>
      <c r="G706" s="396"/>
      <c r="H706" s="395"/>
      <c r="I706" s="397"/>
      <c r="J706" s="398"/>
      <c r="K706" s="403">
        <f t="shared" si="296"/>
        <v>0</v>
      </c>
      <c r="L706" s="400" t="s">
        <v>755</v>
      </c>
      <c r="M706" s="30"/>
      <c r="N706" s="30">
        <v>0</v>
      </c>
      <c r="O706" s="287">
        <f t="shared" si="299"/>
        <v>0</v>
      </c>
      <c r="P706" s="287">
        <f t="shared" si="298"/>
        <v>0</v>
      </c>
      <c r="Q706" s="288"/>
      <c r="R706" s="243"/>
      <c r="S706" s="378" t="str">
        <f t="shared" si="300"/>
        <v/>
      </c>
    </row>
    <row r="707" spans="2:19" hidden="1" x14ac:dyDescent="0.2">
      <c r="B707" s="609" t="s">
        <v>188</v>
      </c>
      <c r="C707" s="746" t="s">
        <v>188</v>
      </c>
      <c r="D707" s="401"/>
      <c r="E707" s="394"/>
      <c r="F707" s="402"/>
      <c r="G707" s="396"/>
      <c r="H707" s="395"/>
      <c r="I707" s="397"/>
      <c r="J707" s="398"/>
      <c r="K707" s="403">
        <f t="shared" si="296"/>
        <v>0</v>
      </c>
      <c r="L707" s="400" t="s">
        <v>755</v>
      </c>
      <c r="M707" s="30"/>
      <c r="N707" s="30">
        <v>0</v>
      </c>
      <c r="O707" s="287">
        <f t="shared" si="299"/>
        <v>0</v>
      </c>
      <c r="P707" s="287">
        <f t="shared" si="298"/>
        <v>0</v>
      </c>
      <c r="Q707" s="288"/>
      <c r="R707" s="243"/>
      <c r="S707" s="378" t="str">
        <f t="shared" si="300"/>
        <v/>
      </c>
    </row>
    <row r="708" spans="2:19" hidden="1" x14ac:dyDescent="0.2">
      <c r="B708" s="609" t="s">
        <v>188</v>
      </c>
      <c r="C708" s="746" t="s">
        <v>188</v>
      </c>
      <c r="D708" s="401"/>
      <c r="E708" s="394"/>
      <c r="F708" s="402"/>
      <c r="G708" s="396"/>
      <c r="H708" s="395"/>
      <c r="I708" s="397"/>
      <c r="J708" s="398"/>
      <c r="K708" s="403">
        <f t="shared" si="296"/>
        <v>0</v>
      </c>
      <c r="L708" s="400" t="s">
        <v>755</v>
      </c>
      <c r="M708" s="30"/>
      <c r="N708" s="30">
        <v>0</v>
      </c>
      <c r="O708" s="287">
        <f t="shared" si="299"/>
        <v>0</v>
      </c>
      <c r="P708" s="287">
        <f t="shared" si="298"/>
        <v>0</v>
      </c>
      <c r="Q708" s="288"/>
      <c r="R708" s="243"/>
      <c r="S708" s="378" t="str">
        <f t="shared" si="300"/>
        <v/>
      </c>
    </row>
    <row r="709" spans="2:19" hidden="1" x14ac:dyDescent="0.2">
      <c r="B709" s="609" t="s">
        <v>188</v>
      </c>
      <c r="C709" s="746" t="s">
        <v>188</v>
      </c>
      <c r="D709" s="401"/>
      <c r="E709" s="394"/>
      <c r="F709" s="402"/>
      <c r="G709" s="396"/>
      <c r="H709" s="395"/>
      <c r="I709" s="397"/>
      <c r="J709" s="398"/>
      <c r="K709" s="403">
        <f t="shared" si="296"/>
        <v>0</v>
      </c>
      <c r="L709" s="400" t="s">
        <v>755</v>
      </c>
      <c r="M709" s="30"/>
      <c r="N709" s="30">
        <v>0</v>
      </c>
      <c r="O709" s="287">
        <f t="shared" si="299"/>
        <v>0</v>
      </c>
      <c r="P709" s="287">
        <f t="shared" si="298"/>
        <v>0</v>
      </c>
      <c r="Q709" s="288"/>
      <c r="R709" s="243"/>
      <c r="S709" s="378" t="str">
        <f t="shared" si="300"/>
        <v/>
      </c>
    </row>
    <row r="710" spans="2:19" hidden="1" x14ac:dyDescent="0.2">
      <c r="B710" s="609" t="s">
        <v>188</v>
      </c>
      <c r="C710" s="746" t="s">
        <v>188</v>
      </c>
      <c r="D710" s="401"/>
      <c r="E710" s="394"/>
      <c r="F710" s="402"/>
      <c r="G710" s="396"/>
      <c r="H710" s="395"/>
      <c r="I710" s="397"/>
      <c r="J710" s="398"/>
      <c r="K710" s="403">
        <f t="shared" si="296"/>
        <v>0</v>
      </c>
      <c r="L710" s="400" t="s">
        <v>755</v>
      </c>
      <c r="M710" s="30"/>
      <c r="N710" s="30">
        <v>0</v>
      </c>
      <c r="O710" s="287">
        <f t="shared" si="299"/>
        <v>0</v>
      </c>
      <c r="P710" s="287">
        <f t="shared" si="298"/>
        <v>0</v>
      </c>
      <c r="Q710" s="288"/>
      <c r="R710" s="243"/>
      <c r="S710" s="378" t="str">
        <f t="shared" si="300"/>
        <v/>
      </c>
    </row>
    <row r="711" spans="2:19" hidden="1" x14ac:dyDescent="0.2">
      <c r="B711" s="609" t="s">
        <v>188</v>
      </c>
      <c r="C711" s="746" t="s">
        <v>188</v>
      </c>
      <c r="D711" s="401"/>
      <c r="E711" s="394"/>
      <c r="F711" s="402"/>
      <c r="G711" s="396"/>
      <c r="H711" s="395"/>
      <c r="I711" s="397"/>
      <c r="J711" s="398"/>
      <c r="K711" s="403">
        <f t="shared" si="296"/>
        <v>0</v>
      </c>
      <c r="L711" s="400" t="s">
        <v>755</v>
      </c>
      <c r="M711" s="30"/>
      <c r="N711" s="30">
        <v>0</v>
      </c>
      <c r="O711" s="287">
        <f t="shared" si="299"/>
        <v>0</v>
      </c>
      <c r="P711" s="287">
        <f t="shared" si="298"/>
        <v>0</v>
      </c>
      <c r="Q711" s="288"/>
      <c r="R711" s="243"/>
      <c r="S711" s="378" t="str">
        <f t="shared" si="300"/>
        <v/>
      </c>
    </row>
    <row r="712" spans="2:19" hidden="1" x14ac:dyDescent="0.2">
      <c r="B712" s="609" t="s">
        <v>188</v>
      </c>
      <c r="C712" s="746" t="s">
        <v>188</v>
      </c>
      <c r="D712" s="401"/>
      <c r="E712" s="394"/>
      <c r="F712" s="402"/>
      <c r="G712" s="396"/>
      <c r="H712" s="395"/>
      <c r="I712" s="397"/>
      <c r="J712" s="398"/>
      <c r="K712" s="403">
        <f t="shared" si="296"/>
        <v>0</v>
      </c>
      <c r="L712" s="400" t="s">
        <v>755</v>
      </c>
      <c r="M712" s="30"/>
      <c r="N712" s="30">
        <v>0</v>
      </c>
      <c r="O712" s="287">
        <f t="shared" si="299"/>
        <v>0</v>
      </c>
      <c r="P712" s="287">
        <f t="shared" si="298"/>
        <v>0</v>
      </c>
      <c r="Q712" s="288"/>
      <c r="R712" s="243"/>
      <c r="S712" s="378" t="str">
        <f t="shared" si="300"/>
        <v/>
      </c>
    </row>
    <row r="713" spans="2:19" hidden="1" x14ac:dyDescent="0.2">
      <c r="B713" s="609" t="s">
        <v>188</v>
      </c>
      <c r="C713" s="746" t="s">
        <v>188</v>
      </c>
      <c r="D713" s="401"/>
      <c r="E713" s="394"/>
      <c r="F713" s="402"/>
      <c r="G713" s="396"/>
      <c r="H713" s="395"/>
      <c r="I713" s="397"/>
      <c r="J713" s="398"/>
      <c r="K713" s="403">
        <f t="shared" si="296"/>
        <v>0</v>
      </c>
      <c r="L713" s="400" t="s">
        <v>755</v>
      </c>
      <c r="M713" s="30"/>
      <c r="N713" s="30">
        <v>0</v>
      </c>
      <c r="O713" s="287">
        <f t="shared" si="299"/>
        <v>0</v>
      </c>
      <c r="P713" s="287">
        <f t="shared" si="298"/>
        <v>0</v>
      </c>
      <c r="Q713" s="288"/>
      <c r="R713" s="243"/>
      <c r="S713" s="378" t="str">
        <f t="shared" si="300"/>
        <v/>
      </c>
    </row>
    <row r="714" spans="2:19" hidden="1" x14ac:dyDescent="0.2">
      <c r="B714" s="609" t="s">
        <v>188</v>
      </c>
      <c r="C714" s="746" t="s">
        <v>188</v>
      </c>
      <c r="D714" s="401"/>
      <c r="E714" s="394"/>
      <c r="F714" s="402"/>
      <c r="G714" s="396"/>
      <c r="H714" s="395"/>
      <c r="I714" s="397"/>
      <c r="J714" s="398"/>
      <c r="K714" s="403">
        <f t="shared" si="296"/>
        <v>0</v>
      </c>
      <c r="L714" s="400" t="s">
        <v>755</v>
      </c>
      <c r="M714" s="30"/>
      <c r="N714" s="30">
        <v>0</v>
      </c>
      <c r="O714" s="287">
        <f t="shared" si="299"/>
        <v>0</v>
      </c>
      <c r="P714" s="287">
        <f t="shared" si="298"/>
        <v>0</v>
      </c>
      <c r="Q714" s="288"/>
      <c r="R714" s="243"/>
      <c r="S714" s="378" t="str">
        <f t="shared" si="300"/>
        <v/>
      </c>
    </row>
    <row r="715" spans="2:19" hidden="1" x14ac:dyDescent="0.2">
      <c r="B715" s="609" t="s">
        <v>188</v>
      </c>
      <c r="C715" s="746" t="s">
        <v>188</v>
      </c>
      <c r="D715" s="401"/>
      <c r="E715" s="394"/>
      <c r="F715" s="402"/>
      <c r="G715" s="396"/>
      <c r="H715" s="395"/>
      <c r="I715" s="397"/>
      <c r="J715" s="398"/>
      <c r="K715" s="403">
        <f t="shared" si="296"/>
        <v>0</v>
      </c>
      <c r="L715" s="400" t="s">
        <v>755</v>
      </c>
      <c r="M715" s="30"/>
      <c r="N715" s="30">
        <v>0</v>
      </c>
      <c r="O715" s="287">
        <f t="shared" si="299"/>
        <v>0</v>
      </c>
      <c r="P715" s="287">
        <f t="shared" si="298"/>
        <v>0</v>
      </c>
      <c r="Q715" s="288"/>
      <c r="R715" s="243"/>
      <c r="S715" s="378" t="str">
        <f t="shared" si="300"/>
        <v/>
      </c>
    </row>
    <row r="716" spans="2:19" hidden="1" x14ac:dyDescent="0.2">
      <c r="B716" s="609" t="s">
        <v>188</v>
      </c>
      <c r="C716" s="746" t="s">
        <v>188</v>
      </c>
      <c r="D716" s="401"/>
      <c r="E716" s="394"/>
      <c r="F716" s="402"/>
      <c r="G716" s="396"/>
      <c r="H716" s="395"/>
      <c r="I716" s="397"/>
      <c r="J716" s="398"/>
      <c r="K716" s="403">
        <f t="shared" si="296"/>
        <v>0</v>
      </c>
      <c r="L716" s="400" t="s">
        <v>755</v>
      </c>
      <c r="M716" s="30"/>
      <c r="N716" s="30">
        <v>0</v>
      </c>
      <c r="O716" s="287">
        <f t="shared" si="299"/>
        <v>0</v>
      </c>
      <c r="P716" s="287">
        <f t="shared" si="298"/>
        <v>0</v>
      </c>
      <c r="Q716" s="288"/>
      <c r="R716" s="243"/>
      <c r="S716" s="378" t="str">
        <f t="shared" si="300"/>
        <v/>
      </c>
    </row>
    <row r="717" spans="2:19" hidden="1" x14ac:dyDescent="0.2">
      <c r="B717" s="609" t="s">
        <v>188</v>
      </c>
      <c r="C717" s="746" t="s">
        <v>188</v>
      </c>
      <c r="D717" s="401"/>
      <c r="E717" s="394"/>
      <c r="F717" s="402"/>
      <c r="G717" s="396"/>
      <c r="H717" s="395"/>
      <c r="I717" s="397"/>
      <c r="J717" s="398"/>
      <c r="K717" s="403">
        <f t="shared" si="296"/>
        <v>0</v>
      </c>
      <c r="L717" s="400" t="s">
        <v>755</v>
      </c>
      <c r="M717" s="30"/>
      <c r="N717" s="30">
        <v>0</v>
      </c>
      <c r="O717" s="287">
        <f t="shared" si="299"/>
        <v>0</v>
      </c>
      <c r="P717" s="287">
        <f t="shared" si="298"/>
        <v>0</v>
      </c>
      <c r="Q717" s="288"/>
      <c r="R717" s="243"/>
      <c r="S717" s="378" t="str">
        <f t="shared" si="300"/>
        <v/>
      </c>
    </row>
    <row r="718" spans="2:19" hidden="1" x14ac:dyDescent="0.2">
      <c r="B718" s="609" t="s">
        <v>188</v>
      </c>
      <c r="C718" s="746" t="s">
        <v>188</v>
      </c>
      <c r="D718" s="401"/>
      <c r="E718" s="394"/>
      <c r="F718" s="402"/>
      <c r="G718" s="396"/>
      <c r="H718" s="395"/>
      <c r="I718" s="397"/>
      <c r="J718" s="398"/>
      <c r="K718" s="403">
        <f t="shared" si="296"/>
        <v>0</v>
      </c>
      <c r="L718" s="400" t="s">
        <v>755</v>
      </c>
      <c r="M718" s="30"/>
      <c r="N718" s="30">
        <v>0</v>
      </c>
      <c r="O718" s="287">
        <f t="shared" si="299"/>
        <v>0</v>
      </c>
      <c r="P718" s="287">
        <f t="shared" si="298"/>
        <v>0</v>
      </c>
      <c r="Q718" s="288"/>
      <c r="R718" s="243"/>
      <c r="S718" s="378" t="str">
        <f t="shared" si="300"/>
        <v/>
      </c>
    </row>
    <row r="719" spans="2:19" hidden="1" x14ac:dyDescent="0.2">
      <c r="B719" s="609" t="s">
        <v>188</v>
      </c>
      <c r="C719" s="746" t="s">
        <v>188</v>
      </c>
      <c r="D719" s="401"/>
      <c r="E719" s="394"/>
      <c r="F719" s="402"/>
      <c r="G719" s="396"/>
      <c r="H719" s="395"/>
      <c r="I719" s="397"/>
      <c r="J719" s="398"/>
      <c r="K719" s="403">
        <f t="shared" si="296"/>
        <v>0</v>
      </c>
      <c r="L719" s="400" t="s">
        <v>755</v>
      </c>
      <c r="M719" s="30"/>
      <c r="N719" s="30">
        <v>0</v>
      </c>
      <c r="O719" s="287">
        <f t="shared" si="299"/>
        <v>0</v>
      </c>
      <c r="P719" s="287">
        <f t="shared" si="298"/>
        <v>0</v>
      </c>
      <c r="Q719" s="288"/>
      <c r="R719" s="243"/>
      <c r="S719" s="378" t="str">
        <f t="shared" si="300"/>
        <v/>
      </c>
    </row>
    <row r="720" spans="2:19" hidden="1" x14ac:dyDescent="0.2">
      <c r="B720" s="609" t="s">
        <v>188</v>
      </c>
      <c r="C720" s="746" t="s">
        <v>188</v>
      </c>
      <c r="D720" s="401"/>
      <c r="E720" s="394"/>
      <c r="F720" s="402"/>
      <c r="G720" s="396"/>
      <c r="H720" s="395"/>
      <c r="I720" s="397"/>
      <c r="J720" s="398"/>
      <c r="K720" s="403">
        <f t="shared" si="296"/>
        <v>0</v>
      </c>
      <c r="L720" s="400" t="s">
        <v>755</v>
      </c>
      <c r="M720" s="30"/>
      <c r="N720" s="30">
        <v>0</v>
      </c>
      <c r="O720" s="287">
        <f t="shared" si="299"/>
        <v>0</v>
      </c>
      <c r="P720" s="287">
        <f t="shared" si="298"/>
        <v>0</v>
      </c>
      <c r="Q720" s="288"/>
      <c r="R720" s="243"/>
      <c r="S720" s="378" t="str">
        <f t="shared" si="300"/>
        <v/>
      </c>
    </row>
    <row r="721" spans="2:19" hidden="1" x14ac:dyDescent="0.2">
      <c r="B721" s="609" t="s">
        <v>188</v>
      </c>
      <c r="C721" s="746" t="s">
        <v>188</v>
      </c>
      <c r="D721" s="401"/>
      <c r="E721" s="394"/>
      <c r="F721" s="402"/>
      <c r="G721" s="396"/>
      <c r="H721" s="395"/>
      <c r="I721" s="397"/>
      <c r="J721" s="398"/>
      <c r="K721" s="403">
        <f t="shared" si="296"/>
        <v>0</v>
      </c>
      <c r="L721" s="400" t="s">
        <v>755</v>
      </c>
      <c r="M721" s="30"/>
      <c r="N721" s="30">
        <v>0</v>
      </c>
      <c r="O721" s="287">
        <f t="shared" si="299"/>
        <v>0</v>
      </c>
      <c r="P721" s="287">
        <f t="shared" si="298"/>
        <v>0</v>
      </c>
      <c r="Q721" s="288"/>
      <c r="R721" s="243"/>
      <c r="S721" s="378" t="str">
        <f t="shared" si="300"/>
        <v/>
      </c>
    </row>
    <row r="722" spans="2:19" hidden="1" x14ac:dyDescent="0.2">
      <c r="B722" s="609" t="s">
        <v>188</v>
      </c>
      <c r="C722" s="746" t="s">
        <v>188</v>
      </c>
      <c r="D722" s="401"/>
      <c r="E722" s="394"/>
      <c r="F722" s="402"/>
      <c r="G722" s="396"/>
      <c r="H722" s="395"/>
      <c r="I722" s="397"/>
      <c r="J722" s="398"/>
      <c r="K722" s="403">
        <f t="shared" si="296"/>
        <v>0</v>
      </c>
      <c r="L722" s="400" t="s">
        <v>755</v>
      </c>
      <c r="M722" s="30"/>
      <c r="N722" s="30">
        <v>0</v>
      </c>
      <c r="O722" s="287">
        <f t="shared" si="299"/>
        <v>0</v>
      </c>
      <c r="P722" s="287">
        <f t="shared" si="298"/>
        <v>0</v>
      </c>
      <c r="Q722" s="288"/>
      <c r="R722" s="243"/>
      <c r="S722" s="378" t="str">
        <f t="shared" si="300"/>
        <v/>
      </c>
    </row>
    <row r="723" spans="2:19" hidden="1" x14ac:dyDescent="0.2">
      <c r="B723" s="609" t="s">
        <v>188</v>
      </c>
      <c r="C723" s="746" t="s">
        <v>188</v>
      </c>
      <c r="D723" s="401"/>
      <c r="E723" s="394"/>
      <c r="F723" s="402"/>
      <c r="G723" s="396"/>
      <c r="H723" s="395"/>
      <c r="I723" s="397"/>
      <c r="J723" s="398"/>
      <c r="K723" s="403">
        <f t="shared" si="296"/>
        <v>0</v>
      </c>
      <c r="L723" s="400" t="s">
        <v>755</v>
      </c>
      <c r="M723" s="30"/>
      <c r="N723" s="30">
        <v>0</v>
      </c>
      <c r="O723" s="287">
        <f t="shared" si="299"/>
        <v>0</v>
      </c>
      <c r="P723" s="287">
        <f t="shared" si="298"/>
        <v>0</v>
      </c>
      <c r="Q723" s="288"/>
      <c r="R723" s="243"/>
      <c r="S723" s="378" t="str">
        <f t="shared" si="300"/>
        <v/>
      </c>
    </row>
    <row r="724" spans="2:19" hidden="1" x14ac:dyDescent="0.2">
      <c r="B724" s="609" t="s">
        <v>188</v>
      </c>
      <c r="C724" s="746" t="s">
        <v>188</v>
      </c>
      <c r="D724" s="401"/>
      <c r="E724" s="394"/>
      <c r="F724" s="402"/>
      <c r="G724" s="396"/>
      <c r="H724" s="395"/>
      <c r="I724" s="397"/>
      <c r="J724" s="398"/>
      <c r="K724" s="403">
        <f t="shared" si="296"/>
        <v>0</v>
      </c>
      <c r="L724" s="400" t="s">
        <v>755</v>
      </c>
      <c r="M724" s="30"/>
      <c r="N724" s="30">
        <v>0</v>
      </c>
      <c r="O724" s="287">
        <f t="shared" si="299"/>
        <v>0</v>
      </c>
      <c r="P724" s="287">
        <f t="shared" si="298"/>
        <v>0</v>
      </c>
      <c r="Q724" s="288"/>
      <c r="R724" s="243"/>
      <c r="S724" s="378" t="str">
        <f t="shared" si="300"/>
        <v/>
      </c>
    </row>
    <row r="725" spans="2:19" hidden="1" x14ac:dyDescent="0.2">
      <c r="B725" s="609" t="s">
        <v>188</v>
      </c>
      <c r="C725" s="746" t="s">
        <v>188</v>
      </c>
      <c r="D725" s="401"/>
      <c r="E725" s="394"/>
      <c r="F725" s="402"/>
      <c r="G725" s="396"/>
      <c r="H725" s="395"/>
      <c r="I725" s="397"/>
      <c r="J725" s="398"/>
      <c r="K725" s="403">
        <f t="shared" si="296"/>
        <v>0</v>
      </c>
      <c r="L725" s="400" t="s">
        <v>755</v>
      </c>
      <c r="M725" s="30"/>
      <c r="N725" s="30">
        <v>0</v>
      </c>
      <c r="O725" s="287">
        <f t="shared" si="299"/>
        <v>0</v>
      </c>
      <c r="P725" s="287">
        <f t="shared" si="298"/>
        <v>0</v>
      </c>
      <c r="Q725" s="288"/>
      <c r="R725" s="243"/>
      <c r="S725" s="378" t="str">
        <f t="shared" si="300"/>
        <v/>
      </c>
    </row>
    <row r="726" spans="2:19" hidden="1" x14ac:dyDescent="0.2">
      <c r="B726" s="609" t="s">
        <v>188</v>
      </c>
      <c r="C726" s="746" t="s">
        <v>188</v>
      </c>
      <c r="D726" s="401"/>
      <c r="E726" s="394"/>
      <c r="F726" s="402"/>
      <c r="G726" s="396"/>
      <c r="H726" s="395"/>
      <c r="I726" s="397"/>
      <c r="J726" s="398"/>
      <c r="K726" s="403">
        <f t="shared" si="296"/>
        <v>0</v>
      </c>
      <c r="L726" s="400" t="s">
        <v>755</v>
      </c>
      <c r="M726" s="30"/>
      <c r="N726" s="30">
        <v>0</v>
      </c>
      <c r="O726" s="287">
        <f t="shared" si="299"/>
        <v>0</v>
      </c>
      <c r="P726" s="287">
        <f t="shared" si="298"/>
        <v>0</v>
      </c>
      <c r="Q726" s="288"/>
      <c r="R726" s="243"/>
      <c r="S726" s="378" t="str">
        <f t="shared" si="300"/>
        <v/>
      </c>
    </row>
    <row r="727" spans="2:19" ht="13.5" hidden="1" thickBot="1" x14ac:dyDescent="0.25">
      <c r="B727" s="610" t="s">
        <v>188</v>
      </c>
      <c r="C727" s="747" t="s">
        <v>188</v>
      </c>
      <c r="D727" s="404"/>
      <c r="E727" s="405"/>
      <c r="F727" s="406"/>
      <c r="G727" s="407"/>
      <c r="H727" s="408"/>
      <c r="I727" s="409"/>
      <c r="J727" s="410"/>
      <c r="K727" s="411">
        <f t="shared" si="296"/>
        <v>0</v>
      </c>
      <c r="L727" s="412" t="s">
        <v>755</v>
      </c>
      <c r="M727" s="30"/>
      <c r="N727" s="30">
        <v>0</v>
      </c>
      <c r="O727" s="413">
        <f t="shared" si="299"/>
        <v>0</v>
      </c>
      <c r="P727" s="413">
        <f t="shared" si="298"/>
        <v>0</v>
      </c>
      <c r="Q727" s="288"/>
      <c r="R727" s="243"/>
      <c r="S727" s="378" t="str">
        <f t="shared" si="300"/>
        <v/>
      </c>
    </row>
    <row r="728" spans="2:19" ht="13.5" thickBot="1" x14ac:dyDescent="0.25">
      <c r="B728" s="611" t="s">
        <v>189</v>
      </c>
      <c r="C728" s="636"/>
      <c r="D728" s="637" t="s">
        <v>482</v>
      </c>
      <c r="E728" s="635"/>
      <c r="F728" s="626"/>
      <c r="G728" s="627"/>
      <c r="H728" s="628"/>
      <c r="I728" s="605"/>
      <c r="J728" s="605"/>
      <c r="K728" s="605"/>
      <c r="L728" s="605" t="s">
        <v>755</v>
      </c>
      <c r="M728" s="375"/>
      <c r="N728" s="376"/>
      <c r="O728" s="376"/>
      <c r="P728" s="294"/>
      <c r="Q728" s="295">
        <f>SUM(P729:P787)</f>
        <v>3053.88</v>
      </c>
      <c r="R728" s="311" t="str">
        <f>IF(Q728&gt;0,"xy","")</f>
        <v>xy</v>
      </c>
      <c r="S728" s="378" t="str">
        <f t="shared" si="300"/>
        <v>x</v>
      </c>
    </row>
    <row r="729" spans="2:19" hidden="1" x14ac:dyDescent="0.2">
      <c r="B729" s="730">
        <v>813000</v>
      </c>
      <c r="C729" s="300" t="s">
        <v>207</v>
      </c>
      <c r="D729" s="383" t="s">
        <v>781</v>
      </c>
      <c r="E729" s="704"/>
      <c r="F729" s="661"/>
      <c r="G729" s="665"/>
      <c r="H729" s="664">
        <f>SUM(H730:H732)</f>
        <v>20.581338000000002</v>
      </c>
      <c r="I729" s="380">
        <v>97.42</v>
      </c>
      <c r="J729" s="631">
        <f t="shared" ref="J729:J737" si="301">IF(ISBLANK(I729),"",SUM(H729:I729))</f>
        <v>118.001338</v>
      </c>
      <c r="K729" s="593">
        <f t="shared" ref="K729:K749" si="302">IF(ISBLANK(I729),0,ROUND(J729*(1+$F$10)*(1+$F$11*E729),2))</f>
        <v>149.57</v>
      </c>
      <c r="L729" s="594" t="s">
        <v>19</v>
      </c>
      <c r="M729" s="30"/>
      <c r="N729" s="30">
        <v>149.57</v>
      </c>
      <c r="O729" s="287">
        <f t="shared" ref="O729:O754" si="303">IF(ISBLANK(M729),0,ROUND(K729*M729,2))</f>
        <v>0</v>
      </c>
      <c r="P729" s="287">
        <f t="shared" ref="P729:P754" si="304">IF(ISBLANK(N729),0,ROUND(M729*N729,2))</f>
        <v>0</v>
      </c>
      <c r="Q729" s="288"/>
      <c r="R729" s="243"/>
      <c r="S729" s="378" t="str">
        <f t="shared" si="300"/>
        <v/>
      </c>
    </row>
    <row r="730" spans="2:19" hidden="1" x14ac:dyDescent="0.2">
      <c r="B730" s="730" t="s">
        <v>168</v>
      </c>
      <c r="C730" s="300"/>
      <c r="D730" s="417" t="s">
        <v>213</v>
      </c>
      <c r="E730" s="704"/>
      <c r="F730" s="661">
        <v>500</v>
      </c>
      <c r="G730" s="665">
        <v>1.7600000000000001E-2</v>
      </c>
      <c r="H730" s="664">
        <f>IF(F730&lt;=30,(0.75*F730+6.29)*G730,((0.75*30+6.29)+0.62*(F730-30))*G730)</f>
        <v>5.6353439999999999</v>
      </c>
      <c r="I730" s="380">
        <v>0</v>
      </c>
      <c r="J730" s="631"/>
      <c r="K730" s="593">
        <f t="shared" si="302"/>
        <v>0</v>
      </c>
      <c r="L730" s="651" t="s">
        <v>755</v>
      </c>
      <c r="M730" s="418"/>
      <c r="N730" s="419">
        <v>0</v>
      </c>
      <c r="O730" s="287">
        <f t="shared" si="303"/>
        <v>0</v>
      </c>
      <c r="P730" s="287">
        <f t="shared" si="304"/>
        <v>0</v>
      </c>
      <c r="Q730" s="288"/>
      <c r="R730" s="311" t="str">
        <f>IF(P729&gt;0,"xy","")</f>
        <v/>
      </c>
      <c r="S730" s="378" t="str">
        <f t="shared" si="300"/>
        <v/>
      </c>
    </row>
    <row r="731" spans="2:19" hidden="1" x14ac:dyDescent="0.2">
      <c r="B731" s="730" t="s">
        <v>168</v>
      </c>
      <c r="C731" s="300"/>
      <c r="D731" s="417" t="s">
        <v>249</v>
      </c>
      <c r="E731" s="704"/>
      <c r="F731" s="661">
        <v>180</v>
      </c>
      <c r="G731" s="665">
        <v>7.3400000000000007E-2</v>
      </c>
      <c r="H731" s="663">
        <f t="shared" ref="H731:H732" si="305">IF(F731&lt;=30,(1.05*F731+2.18)*G731,((1.05*30+2.18)+0.87*(F731-30))*G731)</f>
        <v>12.050812000000002</v>
      </c>
      <c r="I731" s="380">
        <v>0</v>
      </c>
      <c r="J731" s="631"/>
      <c r="K731" s="593">
        <f t="shared" si="302"/>
        <v>0</v>
      </c>
      <c r="L731" s="651" t="s">
        <v>755</v>
      </c>
      <c r="M731" s="418"/>
      <c r="N731" s="419">
        <v>0</v>
      </c>
      <c r="O731" s="287">
        <f t="shared" si="303"/>
        <v>0</v>
      </c>
      <c r="P731" s="287">
        <f t="shared" si="304"/>
        <v>0</v>
      </c>
      <c r="Q731" s="288"/>
      <c r="R731" s="311" t="str">
        <f>IF(P729&gt;0,"xy","")</f>
        <v/>
      </c>
      <c r="S731" s="378" t="str">
        <f t="shared" si="300"/>
        <v/>
      </c>
    </row>
    <row r="732" spans="2:19" hidden="1" x14ac:dyDescent="0.2">
      <c r="B732" s="730" t="s">
        <v>168</v>
      </c>
      <c r="C732" s="300"/>
      <c r="D732" s="417" t="s">
        <v>253</v>
      </c>
      <c r="E732" s="704"/>
      <c r="F732" s="661">
        <v>20</v>
      </c>
      <c r="G732" s="665">
        <v>0.1249</v>
      </c>
      <c r="H732" s="663">
        <f t="shared" si="305"/>
        <v>2.8951819999999997</v>
      </c>
      <c r="I732" s="380">
        <v>0</v>
      </c>
      <c r="J732" s="631"/>
      <c r="K732" s="593">
        <f t="shared" si="302"/>
        <v>0</v>
      </c>
      <c r="L732" s="651" t="s">
        <v>755</v>
      </c>
      <c r="M732" s="418"/>
      <c r="N732" s="419">
        <v>0</v>
      </c>
      <c r="O732" s="287">
        <f t="shared" si="303"/>
        <v>0</v>
      </c>
      <c r="P732" s="287">
        <f t="shared" si="304"/>
        <v>0</v>
      </c>
      <c r="Q732" s="288"/>
      <c r="R732" s="311" t="str">
        <f>IF(P729&gt;0,"xy","")</f>
        <v/>
      </c>
      <c r="S732" s="378" t="str">
        <f t="shared" si="300"/>
        <v/>
      </c>
    </row>
    <row r="733" spans="2:19" hidden="1" x14ac:dyDescent="0.2">
      <c r="B733" s="730">
        <v>814000</v>
      </c>
      <c r="C733" s="300" t="s">
        <v>207</v>
      </c>
      <c r="D733" s="383" t="s">
        <v>782</v>
      </c>
      <c r="E733" s="704"/>
      <c r="F733" s="661"/>
      <c r="G733" s="665"/>
      <c r="H733" s="664">
        <f>SUM(H734:H736)</f>
        <v>20.581338000000002</v>
      </c>
      <c r="I733" s="380">
        <v>96.289999999999992</v>
      </c>
      <c r="J733" s="631">
        <f t="shared" si="301"/>
        <v>116.87133799999999</v>
      </c>
      <c r="K733" s="593">
        <f t="shared" si="302"/>
        <v>148.13</v>
      </c>
      <c r="L733" s="594" t="s">
        <v>19</v>
      </c>
      <c r="M733" s="30"/>
      <c r="N733" s="30">
        <v>148.13</v>
      </c>
      <c r="O733" s="287">
        <f t="shared" si="303"/>
        <v>0</v>
      </c>
      <c r="P733" s="287">
        <f t="shared" si="304"/>
        <v>0</v>
      </c>
      <c r="Q733" s="288"/>
      <c r="R733" s="243"/>
      <c r="S733" s="378" t="str">
        <f t="shared" si="300"/>
        <v/>
      </c>
    </row>
    <row r="734" spans="2:19" hidden="1" x14ac:dyDescent="0.2">
      <c r="B734" s="730" t="s">
        <v>168</v>
      </c>
      <c r="C734" s="300"/>
      <c r="D734" s="417" t="s">
        <v>213</v>
      </c>
      <c r="E734" s="704"/>
      <c r="F734" s="661">
        <v>500</v>
      </c>
      <c r="G734" s="665">
        <v>1.7600000000000001E-2</v>
      </c>
      <c r="H734" s="664">
        <f>IF(F734&lt;=30,(0.75*F734+6.29)*G734,((0.75*30+6.29)+0.62*(F734-30))*G734)</f>
        <v>5.6353439999999999</v>
      </c>
      <c r="I734" s="380">
        <v>0</v>
      </c>
      <c r="J734" s="631"/>
      <c r="K734" s="593">
        <f t="shared" si="302"/>
        <v>0</v>
      </c>
      <c r="L734" s="651" t="s">
        <v>755</v>
      </c>
      <c r="M734" s="418"/>
      <c r="N734" s="419">
        <v>0</v>
      </c>
      <c r="O734" s="287">
        <f t="shared" si="303"/>
        <v>0</v>
      </c>
      <c r="P734" s="287">
        <f t="shared" si="304"/>
        <v>0</v>
      </c>
      <c r="Q734" s="288"/>
      <c r="R734" s="311" t="str">
        <f>IF(P733&gt;0,"xy","")</f>
        <v/>
      </c>
      <c r="S734" s="378" t="str">
        <f t="shared" si="300"/>
        <v/>
      </c>
    </row>
    <row r="735" spans="2:19" hidden="1" x14ac:dyDescent="0.2">
      <c r="B735" s="730" t="s">
        <v>168</v>
      </c>
      <c r="C735" s="300"/>
      <c r="D735" s="417" t="s">
        <v>249</v>
      </c>
      <c r="E735" s="704"/>
      <c r="F735" s="661">
        <v>180</v>
      </c>
      <c r="G735" s="665">
        <v>7.3400000000000007E-2</v>
      </c>
      <c r="H735" s="663">
        <f t="shared" ref="H735:H736" si="306">IF(F735&lt;=30,(1.05*F735+2.18)*G735,((1.05*30+2.18)+0.87*(F735-30))*G735)</f>
        <v>12.050812000000002</v>
      </c>
      <c r="I735" s="380">
        <v>0</v>
      </c>
      <c r="J735" s="631"/>
      <c r="K735" s="593">
        <f t="shared" si="302"/>
        <v>0</v>
      </c>
      <c r="L735" s="651" t="s">
        <v>755</v>
      </c>
      <c r="M735" s="418"/>
      <c r="N735" s="419">
        <v>0</v>
      </c>
      <c r="O735" s="287">
        <f t="shared" si="303"/>
        <v>0</v>
      </c>
      <c r="P735" s="287">
        <f t="shared" si="304"/>
        <v>0</v>
      </c>
      <c r="Q735" s="288"/>
      <c r="R735" s="311" t="str">
        <f>IF(P733&gt;0,"xy","")</f>
        <v/>
      </c>
      <c r="S735" s="378" t="str">
        <f t="shared" si="300"/>
        <v/>
      </c>
    </row>
    <row r="736" spans="2:19" hidden="1" x14ac:dyDescent="0.2">
      <c r="B736" s="730" t="s">
        <v>168</v>
      </c>
      <c r="C736" s="300"/>
      <c r="D736" s="417" t="s">
        <v>253</v>
      </c>
      <c r="E736" s="704"/>
      <c r="F736" s="661">
        <v>20</v>
      </c>
      <c r="G736" s="665">
        <v>0.1249</v>
      </c>
      <c r="H736" s="663">
        <f t="shared" si="306"/>
        <v>2.8951819999999997</v>
      </c>
      <c r="I736" s="380">
        <v>0</v>
      </c>
      <c r="J736" s="631"/>
      <c r="K736" s="593">
        <f t="shared" si="302"/>
        <v>0</v>
      </c>
      <c r="L736" s="651" t="s">
        <v>755</v>
      </c>
      <c r="M736" s="418"/>
      <c r="N736" s="419">
        <v>0</v>
      </c>
      <c r="O736" s="287">
        <f t="shared" si="303"/>
        <v>0</v>
      </c>
      <c r="P736" s="287">
        <f t="shared" si="304"/>
        <v>0</v>
      </c>
      <c r="Q736" s="288"/>
      <c r="R736" s="311" t="str">
        <f>IF(P733&gt;0,"xy","")</f>
        <v/>
      </c>
      <c r="S736" s="378" t="str">
        <f t="shared" si="300"/>
        <v/>
      </c>
    </row>
    <row r="737" spans="2:19" hidden="1" x14ac:dyDescent="0.2">
      <c r="B737" s="730" t="s">
        <v>1830</v>
      </c>
      <c r="C737" s="300" t="s">
        <v>207</v>
      </c>
      <c r="D737" s="383" t="s">
        <v>284</v>
      </c>
      <c r="E737" s="704"/>
      <c r="F737" s="661">
        <v>0</v>
      </c>
      <c r="G737" s="665"/>
      <c r="H737" s="664">
        <v>0</v>
      </c>
      <c r="I737" s="380">
        <v>485.29</v>
      </c>
      <c r="J737" s="631">
        <f t="shared" si="301"/>
        <v>485.29</v>
      </c>
      <c r="K737" s="593">
        <f t="shared" si="302"/>
        <v>615.11</v>
      </c>
      <c r="L737" s="594" t="s">
        <v>19</v>
      </c>
      <c r="M737" s="30"/>
      <c r="N737" s="30">
        <v>615.11</v>
      </c>
      <c r="O737" s="287">
        <f t="shared" si="303"/>
        <v>0</v>
      </c>
      <c r="P737" s="287">
        <f t="shared" si="304"/>
        <v>0</v>
      </c>
      <c r="Q737" s="288"/>
      <c r="R737" s="243"/>
      <c r="S737" s="378" t="str">
        <f t="shared" si="300"/>
        <v/>
      </c>
    </row>
    <row r="738" spans="2:19" hidden="1" x14ac:dyDescent="0.2">
      <c r="B738" s="730">
        <v>871000</v>
      </c>
      <c r="C738" s="300" t="s">
        <v>207</v>
      </c>
      <c r="D738" s="383" t="s">
        <v>511</v>
      </c>
      <c r="E738" s="704"/>
      <c r="F738" s="661"/>
      <c r="G738" s="665"/>
      <c r="H738" s="664"/>
      <c r="I738" s="380">
        <v>17.8</v>
      </c>
      <c r="J738" s="631">
        <f>IF(ISBLANK(I738),"",SUM(H738:I738))</f>
        <v>17.8</v>
      </c>
      <c r="K738" s="593">
        <f t="shared" si="302"/>
        <v>22.56</v>
      </c>
      <c r="L738" s="594" t="s">
        <v>21</v>
      </c>
      <c r="M738" s="30"/>
      <c r="N738" s="30">
        <v>22.56</v>
      </c>
      <c r="O738" s="287">
        <f t="shared" si="303"/>
        <v>0</v>
      </c>
      <c r="P738" s="287">
        <f t="shared" si="304"/>
        <v>0</v>
      </c>
      <c r="Q738" s="288"/>
      <c r="R738" s="243"/>
      <c r="S738" s="378" t="str">
        <f t="shared" si="300"/>
        <v/>
      </c>
    </row>
    <row r="739" spans="2:19" hidden="1" x14ac:dyDescent="0.2">
      <c r="B739" s="730">
        <v>870000</v>
      </c>
      <c r="C739" s="300" t="s">
        <v>207</v>
      </c>
      <c r="D739" s="383" t="s">
        <v>512</v>
      </c>
      <c r="E739" s="704"/>
      <c r="F739" s="661"/>
      <c r="G739" s="665"/>
      <c r="H739" s="664"/>
      <c r="I739" s="380">
        <v>18.380000000000003</v>
      </c>
      <c r="J739" s="631">
        <f t="shared" ref="J739:J742" si="307">IF(ISBLANK(I739),"",SUM(H739:I739))</f>
        <v>18.380000000000003</v>
      </c>
      <c r="K739" s="593">
        <f t="shared" si="302"/>
        <v>23.3</v>
      </c>
      <c r="L739" s="594" t="s">
        <v>21</v>
      </c>
      <c r="M739" s="30"/>
      <c r="N739" s="30">
        <v>23.3</v>
      </c>
      <c r="O739" s="287">
        <f t="shared" si="303"/>
        <v>0</v>
      </c>
      <c r="P739" s="287">
        <f t="shared" si="304"/>
        <v>0</v>
      </c>
      <c r="Q739" s="288"/>
      <c r="R739" s="243"/>
      <c r="S739" s="378" t="str">
        <f t="shared" si="300"/>
        <v/>
      </c>
    </row>
    <row r="740" spans="2:19" hidden="1" x14ac:dyDescent="0.2">
      <c r="B740" s="730">
        <v>873000</v>
      </c>
      <c r="C740" s="300" t="s">
        <v>207</v>
      </c>
      <c r="D740" s="383" t="s">
        <v>513</v>
      </c>
      <c r="E740" s="704"/>
      <c r="F740" s="661"/>
      <c r="G740" s="665"/>
      <c r="H740" s="664"/>
      <c r="I740" s="380">
        <v>38.03</v>
      </c>
      <c r="J740" s="631">
        <f t="shared" si="307"/>
        <v>38.03</v>
      </c>
      <c r="K740" s="593">
        <f t="shared" si="302"/>
        <v>48.2</v>
      </c>
      <c r="L740" s="594" t="s">
        <v>21</v>
      </c>
      <c r="M740" s="30"/>
      <c r="N740" s="30">
        <v>48.2</v>
      </c>
      <c r="O740" s="287">
        <f t="shared" si="303"/>
        <v>0</v>
      </c>
      <c r="P740" s="287">
        <f t="shared" si="304"/>
        <v>0</v>
      </c>
      <c r="Q740" s="288"/>
      <c r="R740" s="243"/>
      <c r="S740" s="378" t="str">
        <f t="shared" si="300"/>
        <v/>
      </c>
    </row>
    <row r="741" spans="2:19" hidden="1" x14ac:dyDescent="0.2">
      <c r="B741" s="730">
        <v>872000</v>
      </c>
      <c r="C741" s="300" t="s">
        <v>207</v>
      </c>
      <c r="D741" s="383" t="s">
        <v>514</v>
      </c>
      <c r="E741" s="704"/>
      <c r="F741" s="661"/>
      <c r="G741" s="665"/>
      <c r="H741" s="664"/>
      <c r="I741" s="380">
        <v>37.22</v>
      </c>
      <c r="J741" s="631">
        <f t="shared" si="307"/>
        <v>37.22</v>
      </c>
      <c r="K741" s="593">
        <f t="shared" si="302"/>
        <v>47.18</v>
      </c>
      <c r="L741" s="594" t="s">
        <v>21</v>
      </c>
      <c r="M741" s="30"/>
      <c r="N741" s="30">
        <v>47.18</v>
      </c>
      <c r="O741" s="287">
        <f t="shared" si="303"/>
        <v>0</v>
      </c>
      <c r="P741" s="287">
        <f t="shared" si="304"/>
        <v>0</v>
      </c>
      <c r="Q741" s="288"/>
      <c r="R741" s="243"/>
      <c r="S741" s="378" t="str">
        <f t="shared" si="300"/>
        <v/>
      </c>
    </row>
    <row r="742" spans="2:19" x14ac:dyDescent="0.2">
      <c r="B742" s="730">
        <v>822000</v>
      </c>
      <c r="C742" s="300" t="s">
        <v>207</v>
      </c>
      <c r="D742" s="383" t="s">
        <v>510</v>
      </c>
      <c r="E742" s="704"/>
      <c r="F742" s="661"/>
      <c r="G742" s="665"/>
      <c r="H742" s="664"/>
      <c r="I742" s="380">
        <v>29.479999999999997</v>
      </c>
      <c r="J742" s="631">
        <f t="shared" si="307"/>
        <v>29.479999999999997</v>
      </c>
      <c r="K742" s="593">
        <f t="shared" si="302"/>
        <v>37.369999999999997</v>
      </c>
      <c r="L742" s="594" t="s">
        <v>18</v>
      </c>
      <c r="M742" s="30">
        <v>46.13</v>
      </c>
      <c r="N742" s="30">
        <v>37.369999999999997</v>
      </c>
      <c r="O742" s="287">
        <f t="shared" si="303"/>
        <v>1723.88</v>
      </c>
      <c r="P742" s="287">
        <f t="shared" si="304"/>
        <v>1723.88</v>
      </c>
      <c r="Q742" s="288"/>
      <c r="R742" s="243"/>
      <c r="S742" s="378" t="str">
        <f t="shared" si="300"/>
        <v>x</v>
      </c>
    </row>
    <row r="743" spans="2:19" hidden="1" x14ac:dyDescent="0.2">
      <c r="B743" s="730" t="s">
        <v>315</v>
      </c>
      <c r="C743" s="300" t="s">
        <v>207</v>
      </c>
      <c r="D743" s="383" t="s">
        <v>303</v>
      </c>
      <c r="E743" s="704"/>
      <c r="F743" s="661"/>
      <c r="G743" s="665"/>
      <c r="H743" s="664"/>
      <c r="I743" s="380">
        <v>592.49</v>
      </c>
      <c r="J743" s="631">
        <f>IF(ISBLANK(I743),"",SUM(H743:I743))</f>
        <v>592.49</v>
      </c>
      <c r="K743" s="593">
        <f t="shared" si="302"/>
        <v>750.98</v>
      </c>
      <c r="L743" s="594" t="s">
        <v>18</v>
      </c>
      <c r="M743" s="30"/>
      <c r="N743" s="30">
        <v>750.98</v>
      </c>
      <c r="O743" s="287">
        <f t="shared" si="303"/>
        <v>0</v>
      </c>
      <c r="P743" s="287">
        <f t="shared" si="304"/>
        <v>0</v>
      </c>
      <c r="Q743" s="288"/>
      <c r="R743" s="243"/>
      <c r="S743" s="378" t="str">
        <f t="shared" si="300"/>
        <v/>
      </c>
    </row>
    <row r="744" spans="2:19" hidden="1" x14ac:dyDescent="0.2">
      <c r="B744" s="730">
        <v>821000</v>
      </c>
      <c r="C744" s="300" t="s">
        <v>207</v>
      </c>
      <c r="D744" s="383" t="s">
        <v>304</v>
      </c>
      <c r="E744" s="704"/>
      <c r="F744" s="661"/>
      <c r="G744" s="665"/>
      <c r="H744" s="664"/>
      <c r="I744" s="380">
        <v>154.19999999999999</v>
      </c>
      <c r="J744" s="631">
        <f>IF(ISBLANK(I744),"",SUM(H744:I744))</f>
        <v>154.19999999999999</v>
      </c>
      <c r="K744" s="593">
        <f t="shared" si="302"/>
        <v>195.45</v>
      </c>
      <c r="L744" s="594" t="s">
        <v>21</v>
      </c>
      <c r="M744" s="30"/>
      <c r="N744" s="30">
        <v>195.45</v>
      </c>
      <c r="O744" s="287">
        <f t="shared" si="303"/>
        <v>0</v>
      </c>
      <c r="P744" s="287">
        <f t="shared" si="304"/>
        <v>0</v>
      </c>
      <c r="Q744" s="288"/>
      <c r="R744" s="243"/>
      <c r="S744" s="378" t="str">
        <f t="shared" si="300"/>
        <v/>
      </c>
    </row>
    <row r="745" spans="2:19" hidden="1" x14ac:dyDescent="0.2">
      <c r="B745" s="730">
        <v>821300</v>
      </c>
      <c r="C745" s="300" t="s">
        <v>207</v>
      </c>
      <c r="D745" s="383" t="s">
        <v>305</v>
      </c>
      <c r="E745" s="704"/>
      <c r="F745" s="661"/>
      <c r="G745" s="665"/>
      <c r="H745" s="664"/>
      <c r="I745" s="380">
        <v>408.28999999999996</v>
      </c>
      <c r="J745" s="631">
        <f t="shared" ref="J745" si="308">IF(ISBLANK(I745),"",SUM(H745:I745))</f>
        <v>408.28999999999996</v>
      </c>
      <c r="K745" s="593">
        <f t="shared" si="302"/>
        <v>517.51</v>
      </c>
      <c r="L745" s="594" t="s">
        <v>21</v>
      </c>
      <c r="M745" s="30"/>
      <c r="N745" s="30">
        <v>517.51</v>
      </c>
      <c r="O745" s="287">
        <f t="shared" si="303"/>
        <v>0</v>
      </c>
      <c r="P745" s="287">
        <f t="shared" si="304"/>
        <v>0</v>
      </c>
      <c r="Q745" s="288"/>
      <c r="R745" s="243"/>
      <c r="S745" s="378" t="str">
        <f t="shared" si="300"/>
        <v/>
      </c>
    </row>
    <row r="746" spans="2:19" hidden="1" x14ac:dyDescent="0.2">
      <c r="B746" s="730" t="s">
        <v>316</v>
      </c>
      <c r="C746" s="300" t="s">
        <v>207</v>
      </c>
      <c r="D746" s="383" t="s">
        <v>306</v>
      </c>
      <c r="E746" s="704"/>
      <c r="F746" s="661"/>
      <c r="G746" s="665"/>
      <c r="H746" s="664"/>
      <c r="I746" s="380">
        <f>592.49*0.1964+154.2</f>
        <v>270.56503599999996</v>
      </c>
      <c r="J746" s="631">
        <f>IF(ISBLANK(I746),"",SUM(H746:I746))*0.85</f>
        <v>229.98028059999996</v>
      </c>
      <c r="K746" s="593">
        <f t="shared" si="302"/>
        <v>291.5</v>
      </c>
      <c r="L746" s="594" t="s">
        <v>21</v>
      </c>
      <c r="M746" s="30"/>
      <c r="N746" s="30">
        <v>291.5</v>
      </c>
      <c r="O746" s="287">
        <f t="shared" si="303"/>
        <v>0</v>
      </c>
      <c r="P746" s="287">
        <f t="shared" si="304"/>
        <v>0</v>
      </c>
      <c r="Q746" s="288"/>
      <c r="R746" s="243"/>
      <c r="S746" s="378" t="str">
        <f t="shared" si="300"/>
        <v/>
      </c>
    </row>
    <row r="747" spans="2:19" hidden="1" x14ac:dyDescent="0.2">
      <c r="B747" s="730" t="s">
        <v>317</v>
      </c>
      <c r="C747" s="300" t="s">
        <v>207</v>
      </c>
      <c r="D747" s="383" t="s">
        <v>307</v>
      </c>
      <c r="E747" s="704"/>
      <c r="F747" s="661"/>
      <c r="G747" s="665"/>
      <c r="H747" s="664"/>
      <c r="I747" s="380">
        <f>592.49*0.1219+154.2</f>
        <v>226.424531</v>
      </c>
      <c r="J747" s="631">
        <f>IF(ISBLANK(I747),"",SUM(H747:I747))*0.85</f>
        <v>192.46085134999998</v>
      </c>
      <c r="K747" s="593">
        <f t="shared" si="302"/>
        <v>243.94</v>
      </c>
      <c r="L747" s="594" t="s">
        <v>21</v>
      </c>
      <c r="M747" s="30"/>
      <c r="N747" s="30">
        <v>243.94</v>
      </c>
      <c r="O747" s="287">
        <f t="shared" si="303"/>
        <v>0</v>
      </c>
      <c r="P747" s="287">
        <f t="shared" si="304"/>
        <v>0</v>
      </c>
      <c r="Q747" s="288"/>
      <c r="R747" s="243"/>
      <c r="S747" s="378" t="str">
        <f t="shared" si="300"/>
        <v/>
      </c>
    </row>
    <row r="748" spans="2:19" hidden="1" x14ac:dyDescent="0.2">
      <c r="B748" s="730" t="s">
        <v>318</v>
      </c>
      <c r="C748" s="300" t="s">
        <v>207</v>
      </c>
      <c r="D748" s="383" t="s">
        <v>308</v>
      </c>
      <c r="E748" s="704"/>
      <c r="F748" s="661"/>
      <c r="G748" s="665"/>
      <c r="H748" s="664"/>
      <c r="I748" s="380">
        <f>592.49*0.216+154.2</f>
        <v>282.17784</v>
      </c>
      <c r="J748" s="631">
        <f>IF(ISBLANK(I748),"",SUM(H748:I748))*0.85</f>
        <v>239.85116399999998</v>
      </c>
      <c r="K748" s="593">
        <f t="shared" si="302"/>
        <v>304.01</v>
      </c>
      <c r="L748" s="594" t="s">
        <v>21</v>
      </c>
      <c r="M748" s="30"/>
      <c r="N748" s="30">
        <v>304.01</v>
      </c>
      <c r="O748" s="287">
        <f t="shared" si="303"/>
        <v>0</v>
      </c>
      <c r="P748" s="287">
        <f t="shared" si="304"/>
        <v>0</v>
      </c>
      <c r="Q748" s="288"/>
      <c r="R748" s="243"/>
      <c r="S748" s="378" t="str">
        <f t="shared" si="300"/>
        <v/>
      </c>
    </row>
    <row r="749" spans="2:19" hidden="1" x14ac:dyDescent="0.2">
      <c r="B749" s="730" t="s">
        <v>319</v>
      </c>
      <c r="C749" s="300" t="s">
        <v>207</v>
      </c>
      <c r="D749" s="383" t="s">
        <v>309</v>
      </c>
      <c r="E749" s="704"/>
      <c r="F749" s="661"/>
      <c r="G749" s="665"/>
      <c r="H749" s="664"/>
      <c r="I749" s="380">
        <f>592.49*0.2025+154.2</f>
        <v>274.17922499999997</v>
      </c>
      <c r="J749" s="631">
        <f>IF(ISBLANK(I749),"",SUM(H749:I749))*0.85</f>
        <v>233.05234124999998</v>
      </c>
      <c r="K749" s="593">
        <f t="shared" si="302"/>
        <v>295.39</v>
      </c>
      <c r="L749" s="594" t="s">
        <v>21</v>
      </c>
      <c r="M749" s="30"/>
      <c r="N749" s="30">
        <v>295.39</v>
      </c>
      <c r="O749" s="287">
        <f t="shared" si="303"/>
        <v>0</v>
      </c>
      <c r="P749" s="287">
        <f t="shared" si="304"/>
        <v>0</v>
      </c>
      <c r="Q749" s="288"/>
      <c r="R749" s="243"/>
      <c r="S749" s="378" t="str">
        <f t="shared" si="300"/>
        <v/>
      </c>
    </row>
    <row r="750" spans="2:19" ht="13.5" thickBot="1" x14ac:dyDescent="0.25">
      <c r="B750" s="730" t="s">
        <v>320</v>
      </c>
      <c r="C750" s="300" t="s">
        <v>207</v>
      </c>
      <c r="D750" s="383" t="s">
        <v>310</v>
      </c>
      <c r="E750" s="704"/>
      <c r="F750" s="661"/>
      <c r="G750" s="665"/>
      <c r="H750" s="664"/>
      <c r="I750" s="380">
        <f>592.49*0.1964+408.29</f>
        <v>524.655036</v>
      </c>
      <c r="J750" s="631">
        <f t="shared" ref="J750:J753" si="309">IF(ISBLANK(I750),"",SUM(H750:I750))</f>
        <v>524.655036</v>
      </c>
      <c r="K750" s="593">
        <f t="shared" ref="K750:K756" si="310">IF(ISBLANK(I750),0,ROUND(J750*(1+$F$10)*(1+$F$11*E750),2))</f>
        <v>665</v>
      </c>
      <c r="L750" s="594" t="s">
        <v>21</v>
      </c>
      <c r="M750" s="30">
        <v>2</v>
      </c>
      <c r="N750" s="30">
        <v>665</v>
      </c>
      <c r="O750" s="287">
        <f t="shared" si="303"/>
        <v>1330</v>
      </c>
      <c r="P750" s="287">
        <f t="shared" si="304"/>
        <v>1330</v>
      </c>
      <c r="Q750" s="288"/>
      <c r="R750" s="243"/>
      <c r="S750" s="378" t="str">
        <f t="shared" si="300"/>
        <v>x</v>
      </c>
    </row>
    <row r="751" spans="2:19" hidden="1" x14ac:dyDescent="0.2">
      <c r="B751" s="730" t="s">
        <v>321</v>
      </c>
      <c r="C751" s="300" t="s">
        <v>207</v>
      </c>
      <c r="D751" s="383" t="s">
        <v>311</v>
      </c>
      <c r="E751" s="704"/>
      <c r="F751" s="661"/>
      <c r="G751" s="665"/>
      <c r="H751" s="664"/>
      <c r="I751" s="380">
        <f>592.49*0.12194+408.29</f>
        <v>480.53823060000002</v>
      </c>
      <c r="J751" s="631">
        <f t="shared" si="309"/>
        <v>480.53823060000002</v>
      </c>
      <c r="K751" s="593">
        <f t="shared" si="310"/>
        <v>609.08000000000004</v>
      </c>
      <c r="L751" s="594" t="s">
        <v>21</v>
      </c>
      <c r="M751" s="30"/>
      <c r="N751" s="30">
        <v>609.08000000000004</v>
      </c>
      <c r="O751" s="287">
        <f t="shared" si="303"/>
        <v>0</v>
      </c>
      <c r="P751" s="287">
        <f t="shared" si="304"/>
        <v>0</v>
      </c>
      <c r="Q751" s="288"/>
      <c r="R751" s="243"/>
      <c r="S751" s="378" t="str">
        <f t="shared" si="300"/>
        <v/>
      </c>
    </row>
    <row r="752" spans="2:19" hidden="1" x14ac:dyDescent="0.2">
      <c r="B752" s="730" t="s">
        <v>322</v>
      </c>
      <c r="C752" s="300" t="s">
        <v>207</v>
      </c>
      <c r="D752" s="383" t="s">
        <v>312</v>
      </c>
      <c r="E752" s="704"/>
      <c r="F752" s="661"/>
      <c r="G752" s="665"/>
      <c r="H752" s="664"/>
      <c r="I752" s="380">
        <f>592.49*0.216+408.29</f>
        <v>536.26783999999998</v>
      </c>
      <c r="J752" s="631">
        <f t="shared" si="309"/>
        <v>536.26783999999998</v>
      </c>
      <c r="K752" s="593">
        <f t="shared" si="310"/>
        <v>679.72</v>
      </c>
      <c r="L752" s="594" t="s">
        <v>21</v>
      </c>
      <c r="M752" s="30"/>
      <c r="N752" s="30">
        <v>679.72</v>
      </c>
      <c r="O752" s="287">
        <f t="shared" si="303"/>
        <v>0</v>
      </c>
      <c r="P752" s="287">
        <f t="shared" si="304"/>
        <v>0</v>
      </c>
      <c r="Q752" s="288"/>
      <c r="R752" s="243"/>
      <c r="S752" s="378" t="str">
        <f t="shared" si="300"/>
        <v/>
      </c>
    </row>
    <row r="753" spans="2:19" hidden="1" x14ac:dyDescent="0.2">
      <c r="B753" s="730" t="s">
        <v>758</v>
      </c>
      <c r="C753" s="300" t="s">
        <v>207</v>
      </c>
      <c r="D753" s="383" t="s">
        <v>313</v>
      </c>
      <c r="E753" s="704"/>
      <c r="F753" s="661"/>
      <c r="G753" s="665"/>
      <c r="H753" s="664"/>
      <c r="I753" s="380">
        <f>592.49*0.2025+408.29</f>
        <v>528.26922500000001</v>
      </c>
      <c r="J753" s="631">
        <f t="shared" si="309"/>
        <v>528.26922500000001</v>
      </c>
      <c r="K753" s="593">
        <f t="shared" si="310"/>
        <v>669.58</v>
      </c>
      <c r="L753" s="594" t="s">
        <v>21</v>
      </c>
      <c r="M753" s="415"/>
      <c r="N753" s="415">
        <v>669.58</v>
      </c>
      <c r="O753" s="287">
        <f t="shared" si="303"/>
        <v>0</v>
      </c>
      <c r="P753" s="384">
        <f t="shared" si="304"/>
        <v>0</v>
      </c>
      <c r="Q753" s="288"/>
      <c r="R753" s="243"/>
      <c r="S753" s="378" t="str">
        <f t="shared" si="300"/>
        <v/>
      </c>
    </row>
    <row r="754" spans="2:19" hidden="1" x14ac:dyDescent="0.2">
      <c r="B754" s="730" t="s">
        <v>1832</v>
      </c>
      <c r="C754" s="300" t="s">
        <v>207</v>
      </c>
      <c r="D754" s="383" t="s">
        <v>777</v>
      </c>
      <c r="E754" s="704"/>
      <c r="F754" s="661"/>
      <c r="G754" s="665"/>
      <c r="H754" s="664"/>
      <c r="I754" s="380">
        <f>592.49*0.224+408.29</f>
        <v>541.00775999999996</v>
      </c>
      <c r="J754" s="631">
        <f t="shared" ref="J754" si="311">IF(ISBLANK(I754),"",SUM(H754:I754))</f>
        <v>541.00775999999996</v>
      </c>
      <c r="K754" s="593">
        <f t="shared" si="310"/>
        <v>685.73</v>
      </c>
      <c r="L754" s="594" t="s">
        <v>21</v>
      </c>
      <c r="M754" s="415"/>
      <c r="N754" s="415">
        <v>685.73</v>
      </c>
      <c r="O754" s="287">
        <f t="shared" si="303"/>
        <v>0</v>
      </c>
      <c r="P754" s="384">
        <f t="shared" si="304"/>
        <v>0</v>
      </c>
      <c r="Q754" s="288"/>
      <c r="R754" s="243"/>
      <c r="S754" s="378" t="str">
        <f t="shared" si="300"/>
        <v/>
      </c>
    </row>
    <row r="755" spans="2:19" hidden="1" x14ac:dyDescent="0.2">
      <c r="B755" s="608" t="s">
        <v>188</v>
      </c>
      <c r="C755" s="638"/>
      <c r="D755" s="386" t="s">
        <v>483</v>
      </c>
      <c r="E755" s="387"/>
      <c r="F755" s="388"/>
      <c r="G755" s="389"/>
      <c r="H755" s="390"/>
      <c r="I755" s="391"/>
      <c r="J755" s="391"/>
      <c r="K755" s="391"/>
      <c r="L755" s="391" t="s">
        <v>755</v>
      </c>
      <c r="M755" s="390"/>
      <c r="N755" s="391"/>
      <c r="O755" s="391"/>
      <c r="P755" s="392"/>
      <c r="Q755" s="288"/>
      <c r="R755" s="377" t="str">
        <f>IF(SUM(P756:P787)&gt;0,"y","")</f>
        <v/>
      </c>
      <c r="S755" s="378" t="str">
        <f t="shared" si="300"/>
        <v/>
      </c>
    </row>
    <row r="756" spans="2:19" hidden="1" x14ac:dyDescent="0.2">
      <c r="B756" s="609"/>
      <c r="C756" s="746"/>
      <c r="D756" s="401"/>
      <c r="E756" s="394"/>
      <c r="F756" s="402"/>
      <c r="G756" s="396"/>
      <c r="H756" s="395"/>
      <c r="I756" s="397"/>
      <c r="J756" s="380"/>
      <c r="K756" s="381">
        <f t="shared" si="310"/>
        <v>0</v>
      </c>
      <c r="L756" s="400" t="s">
        <v>755</v>
      </c>
      <c r="M756" s="30"/>
      <c r="N756" s="30">
        <v>0</v>
      </c>
      <c r="O756" s="287">
        <f t="shared" ref="O756" si="312">IF(ISBLANK(M756),0,ROUND(K756*M756,2))</f>
        <v>0</v>
      </c>
      <c r="P756" s="287">
        <f t="shared" ref="P756:P787" si="313">IF(ISBLANK(N756),0,ROUND(M756*N756,2))</f>
        <v>0</v>
      </c>
      <c r="Q756" s="288"/>
      <c r="R756" s="243"/>
      <c r="S756" s="378" t="str">
        <f t="shared" si="300"/>
        <v/>
      </c>
    </row>
    <row r="757" spans="2:19" hidden="1" x14ac:dyDescent="0.2">
      <c r="B757" s="609" t="s">
        <v>188</v>
      </c>
      <c r="C757" s="746" t="s">
        <v>188</v>
      </c>
      <c r="D757" s="401"/>
      <c r="E757" s="394"/>
      <c r="F757" s="402"/>
      <c r="G757" s="396"/>
      <c r="H757" s="395"/>
      <c r="I757" s="397"/>
      <c r="J757" s="398"/>
      <c r="K757" s="403">
        <f t="shared" ref="K757:K787" si="314">IF(ISBLANK(J757),0,ROUND(J757*(1+$F$10)*(1+$F$11*E757),2))</f>
        <v>0</v>
      </c>
      <c r="L757" s="400" t="s">
        <v>755</v>
      </c>
      <c r="M757" s="30"/>
      <c r="N757" s="30">
        <v>0</v>
      </c>
      <c r="O757" s="287">
        <f>IF(ISBLANK(M757),0,ROUND(K757*M757,2))</f>
        <v>0</v>
      </c>
      <c r="P757" s="287">
        <f t="shared" si="313"/>
        <v>0</v>
      </c>
      <c r="Q757" s="288"/>
      <c r="R757" s="243"/>
      <c r="S757" s="378" t="str">
        <f t="shared" si="300"/>
        <v/>
      </c>
    </row>
    <row r="758" spans="2:19" hidden="1" x14ac:dyDescent="0.2">
      <c r="B758" s="609" t="s">
        <v>188</v>
      </c>
      <c r="C758" s="746" t="s">
        <v>188</v>
      </c>
      <c r="D758" s="401"/>
      <c r="E758" s="394"/>
      <c r="F758" s="402"/>
      <c r="G758" s="396"/>
      <c r="H758" s="395"/>
      <c r="I758" s="397"/>
      <c r="J758" s="398"/>
      <c r="K758" s="403">
        <f t="shared" si="314"/>
        <v>0</v>
      </c>
      <c r="L758" s="400" t="s">
        <v>755</v>
      </c>
      <c r="M758" s="30"/>
      <c r="N758" s="30">
        <v>0</v>
      </c>
      <c r="O758" s="287">
        <f t="shared" ref="O758:O787" si="315">IF(ISBLANK(M758),0,ROUND(K758*M758,2))</f>
        <v>0</v>
      </c>
      <c r="P758" s="287">
        <f t="shared" si="313"/>
        <v>0</v>
      </c>
      <c r="Q758" s="288"/>
      <c r="R758" s="243"/>
      <c r="S758" s="378" t="str">
        <f t="shared" si="300"/>
        <v/>
      </c>
    </row>
    <row r="759" spans="2:19" hidden="1" x14ac:dyDescent="0.2">
      <c r="B759" s="609" t="s">
        <v>188</v>
      </c>
      <c r="C759" s="746" t="s">
        <v>188</v>
      </c>
      <c r="D759" s="401"/>
      <c r="E759" s="394"/>
      <c r="F759" s="402"/>
      <c r="G759" s="396"/>
      <c r="H759" s="395"/>
      <c r="I759" s="397"/>
      <c r="J759" s="398"/>
      <c r="K759" s="403">
        <f t="shared" si="314"/>
        <v>0</v>
      </c>
      <c r="L759" s="400" t="s">
        <v>755</v>
      </c>
      <c r="M759" s="30"/>
      <c r="N759" s="30">
        <v>0</v>
      </c>
      <c r="O759" s="287">
        <f t="shared" si="315"/>
        <v>0</v>
      </c>
      <c r="P759" s="287">
        <f t="shared" si="313"/>
        <v>0</v>
      </c>
      <c r="Q759" s="288"/>
      <c r="R759" s="243"/>
      <c r="S759" s="378" t="str">
        <f t="shared" si="300"/>
        <v/>
      </c>
    </row>
    <row r="760" spans="2:19" hidden="1" x14ac:dyDescent="0.2">
      <c r="B760" s="609" t="s">
        <v>188</v>
      </c>
      <c r="C760" s="746" t="s">
        <v>188</v>
      </c>
      <c r="D760" s="401"/>
      <c r="E760" s="394"/>
      <c r="F760" s="402"/>
      <c r="G760" s="396"/>
      <c r="H760" s="395"/>
      <c r="I760" s="397"/>
      <c r="J760" s="398"/>
      <c r="K760" s="403">
        <f t="shared" si="314"/>
        <v>0</v>
      </c>
      <c r="L760" s="400" t="s">
        <v>755</v>
      </c>
      <c r="M760" s="30"/>
      <c r="N760" s="30">
        <v>0</v>
      </c>
      <c r="O760" s="287">
        <f t="shared" si="315"/>
        <v>0</v>
      </c>
      <c r="P760" s="287">
        <f t="shared" si="313"/>
        <v>0</v>
      </c>
      <c r="Q760" s="288"/>
      <c r="R760" s="243"/>
      <c r="S760" s="378" t="str">
        <f t="shared" si="300"/>
        <v/>
      </c>
    </row>
    <row r="761" spans="2:19" hidden="1" x14ac:dyDescent="0.2">
      <c r="B761" s="609" t="s">
        <v>188</v>
      </c>
      <c r="C761" s="746" t="s">
        <v>188</v>
      </c>
      <c r="D761" s="401"/>
      <c r="E761" s="394"/>
      <c r="F761" s="402"/>
      <c r="G761" s="396"/>
      <c r="H761" s="395"/>
      <c r="I761" s="397"/>
      <c r="J761" s="398"/>
      <c r="K761" s="403">
        <f t="shared" si="314"/>
        <v>0</v>
      </c>
      <c r="L761" s="400" t="s">
        <v>755</v>
      </c>
      <c r="M761" s="30"/>
      <c r="N761" s="30">
        <v>0</v>
      </c>
      <c r="O761" s="287">
        <f t="shared" si="315"/>
        <v>0</v>
      </c>
      <c r="P761" s="287">
        <f t="shared" si="313"/>
        <v>0</v>
      </c>
      <c r="Q761" s="288"/>
      <c r="R761" s="243"/>
      <c r="S761" s="378" t="str">
        <f t="shared" si="300"/>
        <v/>
      </c>
    </row>
    <row r="762" spans="2:19" hidden="1" x14ac:dyDescent="0.2">
      <c r="B762" s="609" t="s">
        <v>188</v>
      </c>
      <c r="C762" s="746" t="s">
        <v>188</v>
      </c>
      <c r="D762" s="401"/>
      <c r="E762" s="394"/>
      <c r="F762" s="402"/>
      <c r="G762" s="396"/>
      <c r="H762" s="395"/>
      <c r="I762" s="397"/>
      <c r="J762" s="398"/>
      <c r="K762" s="403">
        <f t="shared" si="314"/>
        <v>0</v>
      </c>
      <c r="L762" s="400" t="s">
        <v>755</v>
      </c>
      <c r="M762" s="30"/>
      <c r="N762" s="30">
        <v>0</v>
      </c>
      <c r="O762" s="287">
        <f t="shared" si="315"/>
        <v>0</v>
      </c>
      <c r="P762" s="287">
        <f t="shared" si="313"/>
        <v>0</v>
      </c>
      <c r="Q762" s="288"/>
      <c r="R762" s="243"/>
      <c r="S762" s="378" t="str">
        <f t="shared" si="300"/>
        <v/>
      </c>
    </row>
    <row r="763" spans="2:19" hidden="1" x14ac:dyDescent="0.2">
      <c r="B763" s="609" t="s">
        <v>188</v>
      </c>
      <c r="C763" s="746" t="s">
        <v>188</v>
      </c>
      <c r="D763" s="401"/>
      <c r="E763" s="394"/>
      <c r="F763" s="402"/>
      <c r="G763" s="396"/>
      <c r="H763" s="395"/>
      <c r="I763" s="397"/>
      <c r="J763" s="398"/>
      <c r="K763" s="403">
        <f t="shared" si="314"/>
        <v>0</v>
      </c>
      <c r="L763" s="400" t="s">
        <v>755</v>
      </c>
      <c r="M763" s="30"/>
      <c r="N763" s="30">
        <v>0</v>
      </c>
      <c r="O763" s="287">
        <f t="shared" si="315"/>
        <v>0</v>
      </c>
      <c r="P763" s="287">
        <f t="shared" si="313"/>
        <v>0</v>
      </c>
      <c r="Q763" s="288"/>
      <c r="R763" s="243"/>
      <c r="S763" s="378" t="str">
        <f t="shared" si="300"/>
        <v/>
      </c>
    </row>
    <row r="764" spans="2:19" hidden="1" x14ac:dyDescent="0.2">
      <c r="B764" s="609" t="s">
        <v>188</v>
      </c>
      <c r="C764" s="746" t="s">
        <v>188</v>
      </c>
      <c r="D764" s="401"/>
      <c r="E764" s="394"/>
      <c r="F764" s="402"/>
      <c r="G764" s="396"/>
      <c r="H764" s="395"/>
      <c r="I764" s="397"/>
      <c r="J764" s="398"/>
      <c r="K764" s="403">
        <f t="shared" si="314"/>
        <v>0</v>
      </c>
      <c r="L764" s="400" t="s">
        <v>755</v>
      </c>
      <c r="M764" s="30"/>
      <c r="N764" s="30">
        <v>0</v>
      </c>
      <c r="O764" s="287">
        <f t="shared" si="315"/>
        <v>0</v>
      </c>
      <c r="P764" s="287">
        <f t="shared" si="313"/>
        <v>0</v>
      </c>
      <c r="Q764" s="288"/>
      <c r="R764" s="243"/>
      <c r="S764" s="378" t="str">
        <f t="shared" si="300"/>
        <v/>
      </c>
    </row>
    <row r="765" spans="2:19" hidden="1" x14ac:dyDescent="0.2">
      <c r="B765" s="609" t="s">
        <v>188</v>
      </c>
      <c r="C765" s="746" t="s">
        <v>188</v>
      </c>
      <c r="D765" s="401"/>
      <c r="E765" s="394"/>
      <c r="F765" s="402"/>
      <c r="G765" s="396"/>
      <c r="H765" s="395"/>
      <c r="I765" s="397"/>
      <c r="J765" s="398"/>
      <c r="K765" s="403">
        <f t="shared" si="314"/>
        <v>0</v>
      </c>
      <c r="L765" s="400" t="s">
        <v>755</v>
      </c>
      <c r="M765" s="30"/>
      <c r="N765" s="30">
        <v>0</v>
      </c>
      <c r="O765" s="287">
        <f t="shared" si="315"/>
        <v>0</v>
      </c>
      <c r="P765" s="287">
        <f t="shared" si="313"/>
        <v>0</v>
      </c>
      <c r="Q765" s="288"/>
      <c r="R765" s="243"/>
      <c r="S765" s="378" t="str">
        <f t="shared" si="300"/>
        <v/>
      </c>
    </row>
    <row r="766" spans="2:19" hidden="1" x14ac:dyDescent="0.2">
      <c r="B766" s="609" t="s">
        <v>188</v>
      </c>
      <c r="C766" s="746" t="s">
        <v>188</v>
      </c>
      <c r="D766" s="401"/>
      <c r="E766" s="394"/>
      <c r="F766" s="402"/>
      <c r="G766" s="396"/>
      <c r="H766" s="395"/>
      <c r="I766" s="397"/>
      <c r="J766" s="398"/>
      <c r="K766" s="403">
        <f t="shared" si="314"/>
        <v>0</v>
      </c>
      <c r="L766" s="400" t="s">
        <v>755</v>
      </c>
      <c r="M766" s="30"/>
      <c r="N766" s="30">
        <v>0</v>
      </c>
      <c r="O766" s="287">
        <f t="shared" si="315"/>
        <v>0</v>
      </c>
      <c r="P766" s="287">
        <f t="shared" si="313"/>
        <v>0</v>
      </c>
      <c r="Q766" s="288"/>
      <c r="R766" s="243"/>
      <c r="S766" s="378" t="str">
        <f t="shared" si="300"/>
        <v/>
      </c>
    </row>
    <row r="767" spans="2:19" hidden="1" x14ac:dyDescent="0.2">
      <c r="B767" s="609" t="s">
        <v>188</v>
      </c>
      <c r="C767" s="746" t="s">
        <v>188</v>
      </c>
      <c r="D767" s="401"/>
      <c r="E767" s="394"/>
      <c r="F767" s="402"/>
      <c r="G767" s="396"/>
      <c r="H767" s="395"/>
      <c r="I767" s="397"/>
      <c r="J767" s="398"/>
      <c r="K767" s="403">
        <f t="shared" si="314"/>
        <v>0</v>
      </c>
      <c r="L767" s="400" t="s">
        <v>755</v>
      </c>
      <c r="M767" s="30"/>
      <c r="N767" s="30">
        <v>0</v>
      </c>
      <c r="O767" s="287">
        <f t="shared" si="315"/>
        <v>0</v>
      </c>
      <c r="P767" s="287">
        <f t="shared" si="313"/>
        <v>0</v>
      </c>
      <c r="Q767" s="288"/>
      <c r="R767" s="243"/>
      <c r="S767" s="378" t="str">
        <f t="shared" ref="S767:S830" si="316">IF(R767="x","x",IF(R767="y","x",IF(R767="xy","x",IF(P767&gt;0,"x",""))))</f>
        <v/>
      </c>
    </row>
    <row r="768" spans="2:19" hidden="1" x14ac:dyDescent="0.2">
      <c r="B768" s="609" t="s">
        <v>188</v>
      </c>
      <c r="C768" s="746" t="s">
        <v>188</v>
      </c>
      <c r="D768" s="401"/>
      <c r="E768" s="394"/>
      <c r="F768" s="402"/>
      <c r="G768" s="396"/>
      <c r="H768" s="395"/>
      <c r="I768" s="397"/>
      <c r="J768" s="398"/>
      <c r="K768" s="403">
        <f t="shared" si="314"/>
        <v>0</v>
      </c>
      <c r="L768" s="400" t="s">
        <v>755</v>
      </c>
      <c r="M768" s="30"/>
      <c r="N768" s="30">
        <v>0</v>
      </c>
      <c r="O768" s="287">
        <f t="shared" si="315"/>
        <v>0</v>
      </c>
      <c r="P768" s="287">
        <f t="shared" si="313"/>
        <v>0</v>
      </c>
      <c r="Q768" s="288"/>
      <c r="R768" s="243"/>
      <c r="S768" s="378" t="str">
        <f t="shared" si="316"/>
        <v/>
      </c>
    </row>
    <row r="769" spans="2:19" hidden="1" x14ac:dyDescent="0.2">
      <c r="B769" s="609" t="s">
        <v>188</v>
      </c>
      <c r="C769" s="746" t="s">
        <v>188</v>
      </c>
      <c r="D769" s="401"/>
      <c r="E769" s="394"/>
      <c r="F769" s="402"/>
      <c r="G769" s="396"/>
      <c r="H769" s="395"/>
      <c r="I769" s="397"/>
      <c r="J769" s="398"/>
      <c r="K769" s="403">
        <f t="shared" si="314"/>
        <v>0</v>
      </c>
      <c r="L769" s="400" t="s">
        <v>755</v>
      </c>
      <c r="M769" s="30"/>
      <c r="N769" s="30">
        <v>0</v>
      </c>
      <c r="O769" s="287">
        <f t="shared" si="315"/>
        <v>0</v>
      </c>
      <c r="P769" s="287">
        <f t="shared" si="313"/>
        <v>0</v>
      </c>
      <c r="Q769" s="288"/>
      <c r="R769" s="243"/>
      <c r="S769" s="378" t="str">
        <f t="shared" si="316"/>
        <v/>
      </c>
    </row>
    <row r="770" spans="2:19" hidden="1" x14ac:dyDescent="0.2">
      <c r="B770" s="609" t="s">
        <v>188</v>
      </c>
      <c r="C770" s="746" t="s">
        <v>188</v>
      </c>
      <c r="D770" s="401"/>
      <c r="E770" s="394"/>
      <c r="F770" s="402"/>
      <c r="G770" s="396"/>
      <c r="H770" s="395"/>
      <c r="I770" s="397"/>
      <c r="J770" s="398"/>
      <c r="K770" s="403">
        <f t="shared" si="314"/>
        <v>0</v>
      </c>
      <c r="L770" s="400" t="s">
        <v>755</v>
      </c>
      <c r="M770" s="30"/>
      <c r="N770" s="30">
        <v>0</v>
      </c>
      <c r="O770" s="287">
        <f t="shared" si="315"/>
        <v>0</v>
      </c>
      <c r="P770" s="287">
        <f t="shared" si="313"/>
        <v>0</v>
      </c>
      <c r="Q770" s="288"/>
      <c r="R770" s="243"/>
      <c r="S770" s="378" t="str">
        <f t="shared" si="316"/>
        <v/>
      </c>
    </row>
    <row r="771" spans="2:19" hidden="1" x14ac:dyDescent="0.2">
      <c r="B771" s="609" t="s">
        <v>188</v>
      </c>
      <c r="C771" s="746" t="s">
        <v>188</v>
      </c>
      <c r="D771" s="401"/>
      <c r="E771" s="394"/>
      <c r="F771" s="402"/>
      <c r="G771" s="396"/>
      <c r="H771" s="395"/>
      <c r="I771" s="397"/>
      <c r="J771" s="398"/>
      <c r="K771" s="403">
        <f t="shared" si="314"/>
        <v>0</v>
      </c>
      <c r="L771" s="400" t="s">
        <v>755</v>
      </c>
      <c r="M771" s="30"/>
      <c r="N771" s="30">
        <v>0</v>
      </c>
      <c r="O771" s="287">
        <f t="shared" si="315"/>
        <v>0</v>
      </c>
      <c r="P771" s="287">
        <f t="shared" si="313"/>
        <v>0</v>
      </c>
      <c r="Q771" s="288"/>
      <c r="R771" s="243"/>
      <c r="S771" s="378" t="str">
        <f t="shared" si="316"/>
        <v/>
      </c>
    </row>
    <row r="772" spans="2:19" hidden="1" x14ac:dyDescent="0.2">
      <c r="B772" s="609" t="s">
        <v>188</v>
      </c>
      <c r="C772" s="746" t="s">
        <v>188</v>
      </c>
      <c r="D772" s="401"/>
      <c r="E772" s="394"/>
      <c r="F772" s="402"/>
      <c r="G772" s="396"/>
      <c r="H772" s="395"/>
      <c r="I772" s="397"/>
      <c r="J772" s="398"/>
      <c r="K772" s="403">
        <f t="shared" si="314"/>
        <v>0</v>
      </c>
      <c r="L772" s="400" t="s">
        <v>755</v>
      </c>
      <c r="M772" s="30"/>
      <c r="N772" s="30">
        <v>0</v>
      </c>
      <c r="O772" s="287">
        <f t="shared" si="315"/>
        <v>0</v>
      </c>
      <c r="P772" s="287">
        <f t="shared" si="313"/>
        <v>0</v>
      </c>
      <c r="Q772" s="288"/>
      <c r="R772" s="243"/>
      <c r="S772" s="378" t="str">
        <f t="shared" si="316"/>
        <v/>
      </c>
    </row>
    <row r="773" spans="2:19" hidden="1" x14ac:dyDescent="0.2">
      <c r="B773" s="609" t="s">
        <v>188</v>
      </c>
      <c r="C773" s="746" t="s">
        <v>188</v>
      </c>
      <c r="D773" s="401"/>
      <c r="E773" s="394"/>
      <c r="F773" s="402"/>
      <c r="G773" s="396"/>
      <c r="H773" s="395"/>
      <c r="I773" s="397"/>
      <c r="J773" s="398"/>
      <c r="K773" s="403">
        <f t="shared" si="314"/>
        <v>0</v>
      </c>
      <c r="L773" s="400" t="s">
        <v>755</v>
      </c>
      <c r="M773" s="30"/>
      <c r="N773" s="30">
        <v>0</v>
      </c>
      <c r="O773" s="287">
        <f t="shared" si="315"/>
        <v>0</v>
      </c>
      <c r="P773" s="287">
        <f t="shared" si="313"/>
        <v>0</v>
      </c>
      <c r="Q773" s="288"/>
      <c r="R773" s="243"/>
      <c r="S773" s="378" t="str">
        <f t="shared" si="316"/>
        <v/>
      </c>
    </row>
    <row r="774" spans="2:19" hidden="1" x14ac:dyDescent="0.2">
      <c r="B774" s="609" t="s">
        <v>188</v>
      </c>
      <c r="C774" s="746" t="s">
        <v>188</v>
      </c>
      <c r="D774" s="401"/>
      <c r="E774" s="394"/>
      <c r="F774" s="402"/>
      <c r="G774" s="396"/>
      <c r="H774" s="395"/>
      <c r="I774" s="397"/>
      <c r="J774" s="398"/>
      <c r="K774" s="403">
        <f t="shared" si="314"/>
        <v>0</v>
      </c>
      <c r="L774" s="400" t="s">
        <v>755</v>
      </c>
      <c r="M774" s="30"/>
      <c r="N774" s="30">
        <v>0</v>
      </c>
      <c r="O774" s="287">
        <f t="shared" si="315"/>
        <v>0</v>
      </c>
      <c r="P774" s="287">
        <f t="shared" si="313"/>
        <v>0</v>
      </c>
      <c r="Q774" s="288"/>
      <c r="R774" s="243"/>
      <c r="S774" s="378" t="str">
        <f t="shared" si="316"/>
        <v/>
      </c>
    </row>
    <row r="775" spans="2:19" hidden="1" x14ac:dyDescent="0.2">
      <c r="B775" s="609" t="s">
        <v>188</v>
      </c>
      <c r="C775" s="746" t="s">
        <v>188</v>
      </c>
      <c r="D775" s="401"/>
      <c r="E775" s="394"/>
      <c r="F775" s="402"/>
      <c r="G775" s="396"/>
      <c r="H775" s="395"/>
      <c r="I775" s="397"/>
      <c r="J775" s="398"/>
      <c r="K775" s="403">
        <f t="shared" si="314"/>
        <v>0</v>
      </c>
      <c r="L775" s="400" t="s">
        <v>755</v>
      </c>
      <c r="M775" s="30"/>
      <c r="N775" s="30">
        <v>0</v>
      </c>
      <c r="O775" s="287">
        <f t="shared" si="315"/>
        <v>0</v>
      </c>
      <c r="P775" s="287">
        <f t="shared" si="313"/>
        <v>0</v>
      </c>
      <c r="Q775" s="288"/>
      <c r="R775" s="243"/>
      <c r="S775" s="378" t="str">
        <f t="shared" si="316"/>
        <v/>
      </c>
    </row>
    <row r="776" spans="2:19" hidden="1" x14ac:dyDescent="0.2">
      <c r="B776" s="609" t="s">
        <v>188</v>
      </c>
      <c r="C776" s="746" t="s">
        <v>188</v>
      </c>
      <c r="D776" s="401"/>
      <c r="E776" s="394"/>
      <c r="F776" s="402"/>
      <c r="G776" s="396"/>
      <c r="H776" s="395"/>
      <c r="I776" s="397"/>
      <c r="J776" s="398"/>
      <c r="K776" s="403">
        <f t="shared" si="314"/>
        <v>0</v>
      </c>
      <c r="L776" s="400" t="s">
        <v>755</v>
      </c>
      <c r="M776" s="30"/>
      <c r="N776" s="30">
        <v>0</v>
      </c>
      <c r="O776" s="287">
        <f t="shared" si="315"/>
        <v>0</v>
      </c>
      <c r="P776" s="287">
        <f t="shared" si="313"/>
        <v>0</v>
      </c>
      <c r="Q776" s="288"/>
      <c r="R776" s="243"/>
      <c r="S776" s="378" t="str">
        <f t="shared" si="316"/>
        <v/>
      </c>
    </row>
    <row r="777" spans="2:19" hidden="1" x14ac:dyDescent="0.2">
      <c r="B777" s="609" t="s">
        <v>188</v>
      </c>
      <c r="C777" s="746" t="s">
        <v>188</v>
      </c>
      <c r="D777" s="401"/>
      <c r="E777" s="394"/>
      <c r="F777" s="402"/>
      <c r="G777" s="396"/>
      <c r="H777" s="395"/>
      <c r="I777" s="397"/>
      <c r="J777" s="398"/>
      <c r="K777" s="403">
        <f t="shared" si="314"/>
        <v>0</v>
      </c>
      <c r="L777" s="400" t="s">
        <v>755</v>
      </c>
      <c r="M777" s="30"/>
      <c r="N777" s="30">
        <v>0</v>
      </c>
      <c r="O777" s="287">
        <f t="shared" si="315"/>
        <v>0</v>
      </c>
      <c r="P777" s="287">
        <f t="shared" si="313"/>
        <v>0</v>
      </c>
      <c r="Q777" s="288"/>
      <c r="R777" s="243"/>
      <c r="S777" s="378" t="str">
        <f t="shared" si="316"/>
        <v/>
      </c>
    </row>
    <row r="778" spans="2:19" hidden="1" x14ac:dyDescent="0.2">
      <c r="B778" s="609" t="s">
        <v>188</v>
      </c>
      <c r="C778" s="746" t="s">
        <v>188</v>
      </c>
      <c r="D778" s="401"/>
      <c r="E778" s="394"/>
      <c r="F778" s="402"/>
      <c r="G778" s="396"/>
      <c r="H778" s="395"/>
      <c r="I778" s="397"/>
      <c r="J778" s="398"/>
      <c r="K778" s="403">
        <f t="shared" si="314"/>
        <v>0</v>
      </c>
      <c r="L778" s="400" t="s">
        <v>755</v>
      </c>
      <c r="M778" s="30"/>
      <c r="N778" s="30">
        <v>0</v>
      </c>
      <c r="O778" s="287">
        <f t="shared" si="315"/>
        <v>0</v>
      </c>
      <c r="P778" s="287">
        <f t="shared" si="313"/>
        <v>0</v>
      </c>
      <c r="Q778" s="288"/>
      <c r="R778" s="243"/>
      <c r="S778" s="378" t="str">
        <f t="shared" si="316"/>
        <v/>
      </c>
    </row>
    <row r="779" spans="2:19" hidden="1" x14ac:dyDescent="0.2">
      <c r="B779" s="609" t="s">
        <v>188</v>
      </c>
      <c r="C779" s="746" t="s">
        <v>188</v>
      </c>
      <c r="D779" s="401"/>
      <c r="E779" s="394"/>
      <c r="F779" s="402"/>
      <c r="G779" s="396"/>
      <c r="H779" s="395"/>
      <c r="I779" s="397"/>
      <c r="J779" s="398"/>
      <c r="K779" s="403">
        <f t="shared" si="314"/>
        <v>0</v>
      </c>
      <c r="L779" s="400" t="s">
        <v>755</v>
      </c>
      <c r="M779" s="30"/>
      <c r="N779" s="30">
        <v>0</v>
      </c>
      <c r="O779" s="287">
        <f t="shared" si="315"/>
        <v>0</v>
      </c>
      <c r="P779" s="287">
        <f t="shared" si="313"/>
        <v>0</v>
      </c>
      <c r="Q779" s="288"/>
      <c r="R779" s="243"/>
      <c r="S779" s="378" t="str">
        <f t="shared" si="316"/>
        <v/>
      </c>
    </row>
    <row r="780" spans="2:19" hidden="1" x14ac:dyDescent="0.2">
      <c r="B780" s="609" t="s">
        <v>188</v>
      </c>
      <c r="C780" s="746" t="s">
        <v>188</v>
      </c>
      <c r="D780" s="401"/>
      <c r="E780" s="394"/>
      <c r="F780" s="402"/>
      <c r="G780" s="396"/>
      <c r="H780" s="395"/>
      <c r="I780" s="397"/>
      <c r="J780" s="398"/>
      <c r="K780" s="403">
        <f t="shared" si="314"/>
        <v>0</v>
      </c>
      <c r="L780" s="400" t="s">
        <v>755</v>
      </c>
      <c r="M780" s="30"/>
      <c r="N780" s="30">
        <v>0</v>
      </c>
      <c r="O780" s="287">
        <f t="shared" si="315"/>
        <v>0</v>
      </c>
      <c r="P780" s="287">
        <f t="shared" si="313"/>
        <v>0</v>
      </c>
      <c r="Q780" s="288"/>
      <c r="R780" s="243"/>
      <c r="S780" s="378" t="str">
        <f t="shared" si="316"/>
        <v/>
      </c>
    </row>
    <row r="781" spans="2:19" hidden="1" x14ac:dyDescent="0.2">
      <c r="B781" s="609" t="s">
        <v>188</v>
      </c>
      <c r="C781" s="746" t="s">
        <v>188</v>
      </c>
      <c r="D781" s="401"/>
      <c r="E781" s="394"/>
      <c r="F781" s="402"/>
      <c r="G781" s="396"/>
      <c r="H781" s="395"/>
      <c r="I781" s="397"/>
      <c r="J781" s="398"/>
      <c r="K781" s="403">
        <f t="shared" si="314"/>
        <v>0</v>
      </c>
      <c r="L781" s="400" t="s">
        <v>755</v>
      </c>
      <c r="M781" s="30"/>
      <c r="N781" s="30">
        <v>0</v>
      </c>
      <c r="O781" s="287">
        <f t="shared" si="315"/>
        <v>0</v>
      </c>
      <c r="P781" s="287">
        <f t="shared" si="313"/>
        <v>0</v>
      </c>
      <c r="Q781" s="288"/>
      <c r="R781" s="243"/>
      <c r="S781" s="378" t="str">
        <f t="shared" si="316"/>
        <v/>
      </c>
    </row>
    <row r="782" spans="2:19" hidden="1" x14ac:dyDescent="0.2">
      <c r="B782" s="609" t="s">
        <v>188</v>
      </c>
      <c r="C782" s="746" t="s">
        <v>188</v>
      </c>
      <c r="D782" s="401"/>
      <c r="E782" s="394"/>
      <c r="F782" s="402"/>
      <c r="G782" s="396"/>
      <c r="H782" s="395"/>
      <c r="I782" s="397"/>
      <c r="J782" s="398"/>
      <c r="K782" s="403">
        <f t="shared" si="314"/>
        <v>0</v>
      </c>
      <c r="L782" s="400" t="s">
        <v>755</v>
      </c>
      <c r="M782" s="30"/>
      <c r="N782" s="30">
        <v>0</v>
      </c>
      <c r="O782" s="287">
        <f t="shared" si="315"/>
        <v>0</v>
      </c>
      <c r="P782" s="287">
        <f t="shared" si="313"/>
        <v>0</v>
      </c>
      <c r="Q782" s="288"/>
      <c r="R782" s="243"/>
      <c r="S782" s="378" t="str">
        <f t="shared" si="316"/>
        <v/>
      </c>
    </row>
    <row r="783" spans="2:19" hidden="1" x14ac:dyDescent="0.2">
      <c r="B783" s="609" t="s">
        <v>188</v>
      </c>
      <c r="C783" s="746" t="s">
        <v>188</v>
      </c>
      <c r="D783" s="401"/>
      <c r="E783" s="394"/>
      <c r="F783" s="402"/>
      <c r="G783" s="396"/>
      <c r="H783" s="395"/>
      <c r="I783" s="397"/>
      <c r="J783" s="398"/>
      <c r="K783" s="403">
        <f t="shared" si="314"/>
        <v>0</v>
      </c>
      <c r="L783" s="400" t="s">
        <v>755</v>
      </c>
      <c r="M783" s="30"/>
      <c r="N783" s="30">
        <v>0</v>
      </c>
      <c r="O783" s="287">
        <f t="shared" si="315"/>
        <v>0</v>
      </c>
      <c r="P783" s="287">
        <f t="shared" si="313"/>
        <v>0</v>
      </c>
      <c r="Q783" s="288"/>
      <c r="R783" s="243"/>
      <c r="S783" s="378" t="str">
        <f t="shared" si="316"/>
        <v/>
      </c>
    </row>
    <row r="784" spans="2:19" hidden="1" x14ac:dyDescent="0.2">
      <c r="B784" s="609" t="s">
        <v>188</v>
      </c>
      <c r="C784" s="746" t="s">
        <v>188</v>
      </c>
      <c r="D784" s="401"/>
      <c r="E784" s="394"/>
      <c r="F784" s="402"/>
      <c r="G784" s="396"/>
      <c r="H784" s="395"/>
      <c r="I784" s="397"/>
      <c r="J784" s="398"/>
      <c r="K784" s="403">
        <f t="shared" si="314"/>
        <v>0</v>
      </c>
      <c r="L784" s="400" t="s">
        <v>755</v>
      </c>
      <c r="M784" s="30"/>
      <c r="N784" s="30">
        <v>0</v>
      </c>
      <c r="O784" s="287">
        <f t="shared" si="315"/>
        <v>0</v>
      </c>
      <c r="P784" s="287">
        <f t="shared" si="313"/>
        <v>0</v>
      </c>
      <c r="Q784" s="288"/>
      <c r="R784" s="243"/>
      <c r="S784" s="378" t="str">
        <f t="shared" si="316"/>
        <v/>
      </c>
    </row>
    <row r="785" spans="2:19" hidden="1" x14ac:dyDescent="0.2">
      <c r="B785" s="609" t="s">
        <v>188</v>
      </c>
      <c r="C785" s="746" t="s">
        <v>188</v>
      </c>
      <c r="D785" s="401"/>
      <c r="E785" s="394"/>
      <c r="F785" s="402"/>
      <c r="G785" s="396"/>
      <c r="H785" s="395"/>
      <c r="I785" s="397"/>
      <c r="J785" s="398"/>
      <c r="K785" s="403">
        <f t="shared" si="314"/>
        <v>0</v>
      </c>
      <c r="L785" s="400" t="s">
        <v>755</v>
      </c>
      <c r="M785" s="30"/>
      <c r="N785" s="30">
        <v>0</v>
      </c>
      <c r="O785" s="287">
        <f t="shared" si="315"/>
        <v>0</v>
      </c>
      <c r="P785" s="287">
        <f t="shared" si="313"/>
        <v>0</v>
      </c>
      <c r="Q785" s="288"/>
      <c r="R785" s="243"/>
      <c r="S785" s="378" t="str">
        <f t="shared" si="316"/>
        <v/>
      </c>
    </row>
    <row r="786" spans="2:19" hidden="1" x14ac:dyDescent="0.2">
      <c r="B786" s="609" t="s">
        <v>188</v>
      </c>
      <c r="C786" s="746" t="s">
        <v>188</v>
      </c>
      <c r="D786" s="401"/>
      <c r="E786" s="394"/>
      <c r="F786" s="402"/>
      <c r="G786" s="396"/>
      <c r="H786" s="395"/>
      <c r="I786" s="397"/>
      <c r="J786" s="398"/>
      <c r="K786" s="403">
        <f t="shared" si="314"/>
        <v>0</v>
      </c>
      <c r="L786" s="400" t="s">
        <v>755</v>
      </c>
      <c r="M786" s="30"/>
      <c r="N786" s="30">
        <v>0</v>
      </c>
      <c r="O786" s="287">
        <f t="shared" si="315"/>
        <v>0</v>
      </c>
      <c r="P786" s="287">
        <f t="shared" si="313"/>
        <v>0</v>
      </c>
      <c r="Q786" s="288"/>
      <c r="R786" s="243"/>
      <c r="S786" s="378" t="str">
        <f t="shared" si="316"/>
        <v/>
      </c>
    </row>
    <row r="787" spans="2:19" ht="13.5" hidden="1" thickBot="1" x14ac:dyDescent="0.25">
      <c r="B787" s="610" t="s">
        <v>188</v>
      </c>
      <c r="C787" s="747" t="s">
        <v>188</v>
      </c>
      <c r="D787" s="404"/>
      <c r="E787" s="405"/>
      <c r="F787" s="406"/>
      <c r="G787" s="407"/>
      <c r="H787" s="408"/>
      <c r="I787" s="409"/>
      <c r="J787" s="410"/>
      <c r="K787" s="411">
        <f t="shared" si="314"/>
        <v>0</v>
      </c>
      <c r="L787" s="412" t="s">
        <v>755</v>
      </c>
      <c r="M787" s="30"/>
      <c r="N787" s="30">
        <v>0</v>
      </c>
      <c r="O787" s="413">
        <f t="shared" si="315"/>
        <v>0</v>
      </c>
      <c r="P787" s="413">
        <f t="shared" si="313"/>
        <v>0</v>
      </c>
      <c r="Q787" s="288"/>
      <c r="R787" s="243"/>
      <c r="S787" s="378" t="str">
        <f t="shared" si="316"/>
        <v/>
      </c>
    </row>
    <row r="788" spans="2:19" ht="13.5" hidden="1" thickBot="1" x14ac:dyDescent="0.25">
      <c r="B788" s="611" t="s">
        <v>323</v>
      </c>
      <c r="C788" s="636"/>
      <c r="D788" s="416" t="s">
        <v>484</v>
      </c>
      <c r="E788" s="414"/>
      <c r="F788" s="373"/>
      <c r="G788" s="374"/>
      <c r="H788" s="375"/>
      <c r="I788" s="376"/>
      <c r="J788" s="376"/>
      <c r="K788" s="376"/>
      <c r="L788" s="376" t="s">
        <v>755</v>
      </c>
      <c r="M788" s="375"/>
      <c r="N788" s="376"/>
      <c r="O788" s="376"/>
      <c r="P788" s="294"/>
      <c r="Q788" s="295">
        <f>SUM(P789:P1637)</f>
        <v>0</v>
      </c>
      <c r="R788" s="311" t="str">
        <f>IF(Q788&gt;0,"xy","")</f>
        <v/>
      </c>
      <c r="S788" s="378" t="str">
        <f t="shared" si="316"/>
        <v/>
      </c>
    </row>
    <row r="789" spans="2:19" hidden="1" x14ac:dyDescent="0.2">
      <c r="B789" s="595">
        <v>702</v>
      </c>
      <c r="C789" s="596" t="s">
        <v>472</v>
      </c>
      <c r="D789" s="597" t="s">
        <v>524</v>
      </c>
      <c r="E789" s="589"/>
      <c r="F789" s="590">
        <v>0</v>
      </c>
      <c r="G789" s="591"/>
      <c r="H789" s="592">
        <v>0</v>
      </c>
      <c r="I789" s="631">
        <v>456.36</v>
      </c>
      <c r="J789" s="631">
        <f t="shared" ref="J789:J794" si="317">IF(ISBLANK(I789),"",SUM(H789:I789))</f>
        <v>456.36</v>
      </c>
      <c r="K789" s="593">
        <f t="shared" ref="K789:K852" si="318">IF(ISBLANK(I789),0,ROUND(J789*(1+$F$10)*(1+$F$11*E789),2))</f>
        <v>578.44000000000005</v>
      </c>
      <c r="L789" s="382" t="s">
        <v>177</v>
      </c>
      <c r="M789" s="30"/>
      <c r="N789" s="30">
        <v>578.44000000000005</v>
      </c>
      <c r="O789" s="287">
        <f t="shared" ref="O789:O852" si="319">IF(ISBLANK(M789),0,ROUND(K789*M789,2))</f>
        <v>0</v>
      </c>
      <c r="P789" s="287">
        <f t="shared" ref="P789:P852" si="320">IF(ISBLANK(N789),0,ROUND(M789*N789,2))</f>
        <v>0</v>
      </c>
      <c r="Q789" s="288"/>
      <c r="R789" s="243"/>
      <c r="S789" s="378" t="str">
        <f t="shared" si="316"/>
        <v/>
      </c>
    </row>
    <row r="790" spans="2:19" hidden="1" x14ac:dyDescent="0.2">
      <c r="B790" s="595">
        <v>703</v>
      </c>
      <c r="C790" s="596" t="s">
        <v>472</v>
      </c>
      <c r="D790" s="597" t="s">
        <v>525</v>
      </c>
      <c r="E790" s="589"/>
      <c r="F790" s="590">
        <v>0</v>
      </c>
      <c r="G790" s="591"/>
      <c r="H790" s="592">
        <v>0</v>
      </c>
      <c r="I790" s="631">
        <v>57.9</v>
      </c>
      <c r="J790" s="631">
        <f t="shared" si="317"/>
        <v>57.9</v>
      </c>
      <c r="K790" s="593">
        <f t="shared" si="318"/>
        <v>73.39</v>
      </c>
      <c r="L790" s="382" t="s">
        <v>21</v>
      </c>
      <c r="M790" s="30"/>
      <c r="N790" s="30">
        <v>73.39</v>
      </c>
      <c r="O790" s="287">
        <f t="shared" si="319"/>
        <v>0</v>
      </c>
      <c r="P790" s="287">
        <f t="shared" si="320"/>
        <v>0</v>
      </c>
      <c r="Q790" s="288"/>
      <c r="R790" s="243"/>
      <c r="S790" s="378" t="str">
        <f t="shared" si="316"/>
        <v/>
      </c>
    </row>
    <row r="791" spans="2:19" hidden="1" x14ac:dyDescent="0.2">
      <c r="B791" s="595">
        <v>704</v>
      </c>
      <c r="C791" s="596" t="s">
        <v>472</v>
      </c>
      <c r="D791" s="597" t="s">
        <v>526</v>
      </c>
      <c r="E791" s="589"/>
      <c r="F791" s="590">
        <v>0</v>
      </c>
      <c r="G791" s="591"/>
      <c r="H791" s="592">
        <v>0</v>
      </c>
      <c r="I791" s="631">
        <v>44.54</v>
      </c>
      <c r="J791" s="631">
        <f t="shared" si="317"/>
        <v>44.54</v>
      </c>
      <c r="K791" s="593">
        <f t="shared" si="318"/>
        <v>56.45</v>
      </c>
      <c r="L791" s="382" t="s">
        <v>21</v>
      </c>
      <c r="M791" s="30"/>
      <c r="N791" s="30">
        <v>56.45</v>
      </c>
      <c r="O791" s="287">
        <f t="shared" si="319"/>
        <v>0</v>
      </c>
      <c r="P791" s="287">
        <f t="shared" si="320"/>
        <v>0</v>
      </c>
      <c r="Q791" s="288"/>
      <c r="R791" s="243"/>
      <c r="S791" s="378" t="str">
        <f t="shared" si="316"/>
        <v/>
      </c>
    </row>
    <row r="792" spans="2:19" hidden="1" x14ac:dyDescent="0.2">
      <c r="B792" s="595">
        <v>740</v>
      </c>
      <c r="C792" s="596" t="s">
        <v>472</v>
      </c>
      <c r="D792" s="597" t="s">
        <v>666</v>
      </c>
      <c r="E792" s="589"/>
      <c r="F792" s="590">
        <v>0</v>
      </c>
      <c r="G792" s="591"/>
      <c r="H792" s="592">
        <v>0</v>
      </c>
      <c r="I792" s="631">
        <v>54.82</v>
      </c>
      <c r="J792" s="631">
        <f t="shared" si="317"/>
        <v>54.82</v>
      </c>
      <c r="K792" s="593">
        <f t="shared" si="318"/>
        <v>69.48</v>
      </c>
      <c r="L792" s="382" t="s">
        <v>21</v>
      </c>
      <c r="M792" s="30"/>
      <c r="N792" s="30">
        <v>69.48</v>
      </c>
      <c r="O792" s="287">
        <f t="shared" si="319"/>
        <v>0</v>
      </c>
      <c r="P792" s="287">
        <f t="shared" si="320"/>
        <v>0</v>
      </c>
      <c r="Q792" s="288"/>
      <c r="R792" s="243"/>
      <c r="S792" s="378" t="str">
        <f t="shared" si="316"/>
        <v/>
      </c>
    </row>
    <row r="793" spans="2:19" hidden="1" x14ac:dyDescent="0.2">
      <c r="B793" s="595">
        <v>741</v>
      </c>
      <c r="C793" s="596" t="s">
        <v>472</v>
      </c>
      <c r="D793" s="597" t="s">
        <v>667</v>
      </c>
      <c r="E793" s="589"/>
      <c r="F793" s="590"/>
      <c r="G793" s="591"/>
      <c r="H793" s="592"/>
      <c r="I793" s="631">
        <v>149.38</v>
      </c>
      <c r="J793" s="631">
        <f t="shared" si="317"/>
        <v>149.38</v>
      </c>
      <c r="K793" s="593">
        <f t="shared" si="318"/>
        <v>189.34</v>
      </c>
      <c r="L793" s="382" t="s">
        <v>21</v>
      </c>
      <c r="M793" s="30"/>
      <c r="N793" s="30">
        <v>189.34</v>
      </c>
      <c r="O793" s="287">
        <f t="shared" si="319"/>
        <v>0</v>
      </c>
      <c r="P793" s="287">
        <f t="shared" si="320"/>
        <v>0</v>
      </c>
      <c r="Q793" s="288"/>
      <c r="R793" s="243"/>
      <c r="S793" s="378" t="str">
        <f t="shared" si="316"/>
        <v/>
      </c>
    </row>
    <row r="794" spans="2:19" hidden="1" x14ac:dyDescent="0.2">
      <c r="B794" s="595">
        <v>742</v>
      </c>
      <c r="C794" s="596" t="s">
        <v>472</v>
      </c>
      <c r="D794" s="597" t="s">
        <v>618</v>
      </c>
      <c r="E794" s="589"/>
      <c r="F794" s="590"/>
      <c r="G794" s="591"/>
      <c r="H794" s="592"/>
      <c r="I794" s="631">
        <v>45.23</v>
      </c>
      <c r="J794" s="631">
        <f t="shared" si="317"/>
        <v>45.23</v>
      </c>
      <c r="K794" s="593">
        <f t="shared" si="318"/>
        <v>57.33</v>
      </c>
      <c r="L794" s="382" t="s">
        <v>21</v>
      </c>
      <c r="M794" s="30"/>
      <c r="N794" s="30">
        <v>57.33</v>
      </c>
      <c r="O794" s="287">
        <f t="shared" si="319"/>
        <v>0</v>
      </c>
      <c r="P794" s="287">
        <f t="shared" si="320"/>
        <v>0</v>
      </c>
      <c r="Q794" s="288"/>
      <c r="R794" s="243"/>
      <c r="S794" s="378" t="str">
        <f t="shared" si="316"/>
        <v/>
      </c>
    </row>
    <row r="795" spans="2:19" hidden="1" x14ac:dyDescent="0.2">
      <c r="B795" s="595" t="s">
        <v>527</v>
      </c>
      <c r="C795" s="596" t="s">
        <v>472</v>
      </c>
      <c r="D795" s="597" t="s">
        <v>619</v>
      </c>
      <c r="E795" s="589"/>
      <c r="F795" s="590"/>
      <c r="G795" s="591"/>
      <c r="H795" s="592"/>
      <c r="I795" s="631">
        <v>18.16</v>
      </c>
      <c r="J795" s="631">
        <f t="shared" ref="J795:J796" si="321">IF(ISBLANK(I795),"",SUM(H795:I795))</f>
        <v>18.16</v>
      </c>
      <c r="K795" s="593">
        <f t="shared" si="318"/>
        <v>23.02</v>
      </c>
      <c r="L795" s="382" t="s">
        <v>21</v>
      </c>
      <c r="M795" s="30"/>
      <c r="N795" s="30">
        <v>23.02</v>
      </c>
      <c r="O795" s="287">
        <f t="shared" si="319"/>
        <v>0</v>
      </c>
      <c r="P795" s="287">
        <f t="shared" si="320"/>
        <v>0</v>
      </c>
      <c r="Q795" s="288"/>
      <c r="R795" s="243"/>
      <c r="S795" s="378" t="str">
        <f t="shared" si="316"/>
        <v/>
      </c>
    </row>
    <row r="796" spans="2:19" hidden="1" x14ac:dyDescent="0.2">
      <c r="B796" s="595">
        <v>743</v>
      </c>
      <c r="C796" s="596" t="s">
        <v>472</v>
      </c>
      <c r="D796" s="597" t="s">
        <v>620</v>
      </c>
      <c r="E796" s="589"/>
      <c r="F796" s="590"/>
      <c r="G796" s="591"/>
      <c r="H796" s="592"/>
      <c r="I796" s="631">
        <v>222.01</v>
      </c>
      <c r="J796" s="631">
        <f t="shared" si="321"/>
        <v>222.01</v>
      </c>
      <c r="K796" s="593">
        <f t="shared" si="318"/>
        <v>281.39999999999998</v>
      </c>
      <c r="L796" s="382" t="s">
        <v>21</v>
      </c>
      <c r="M796" s="30"/>
      <c r="N796" s="30">
        <v>281.39999999999998</v>
      </c>
      <c r="O796" s="287">
        <f t="shared" si="319"/>
        <v>0</v>
      </c>
      <c r="P796" s="287">
        <f t="shared" si="320"/>
        <v>0</v>
      </c>
      <c r="Q796" s="288"/>
      <c r="R796" s="243"/>
      <c r="S796" s="378" t="str">
        <f t="shared" si="316"/>
        <v/>
      </c>
    </row>
    <row r="797" spans="2:19" hidden="1" x14ac:dyDescent="0.2">
      <c r="B797" s="595" t="s">
        <v>528</v>
      </c>
      <c r="C797" s="596" t="s">
        <v>472</v>
      </c>
      <c r="D797" s="597" t="s">
        <v>621</v>
      </c>
      <c r="E797" s="589"/>
      <c r="F797" s="590"/>
      <c r="G797" s="591"/>
      <c r="H797" s="592"/>
      <c r="I797" s="631">
        <v>88.74</v>
      </c>
      <c r="J797" s="631">
        <f t="shared" ref="J797:J836" si="322">IF(ISBLANK(I797),"",SUM(H797:I797))</f>
        <v>88.74</v>
      </c>
      <c r="K797" s="593">
        <f t="shared" si="318"/>
        <v>112.48</v>
      </c>
      <c r="L797" s="382" t="s">
        <v>21</v>
      </c>
      <c r="M797" s="30"/>
      <c r="N797" s="30">
        <v>112.48</v>
      </c>
      <c r="O797" s="287">
        <f t="shared" si="319"/>
        <v>0</v>
      </c>
      <c r="P797" s="287">
        <f t="shared" si="320"/>
        <v>0</v>
      </c>
      <c r="Q797" s="288"/>
      <c r="R797" s="243"/>
      <c r="S797" s="378" t="str">
        <f t="shared" si="316"/>
        <v/>
      </c>
    </row>
    <row r="798" spans="2:19" hidden="1" x14ac:dyDescent="0.2">
      <c r="B798" s="595">
        <v>744</v>
      </c>
      <c r="C798" s="596" t="s">
        <v>472</v>
      </c>
      <c r="D798" s="597" t="s">
        <v>622</v>
      </c>
      <c r="E798" s="589"/>
      <c r="F798" s="590"/>
      <c r="G798" s="591"/>
      <c r="H798" s="592"/>
      <c r="I798" s="631">
        <v>421.76</v>
      </c>
      <c r="J798" s="631">
        <f t="shared" si="322"/>
        <v>421.76</v>
      </c>
      <c r="K798" s="593">
        <f t="shared" si="318"/>
        <v>534.58000000000004</v>
      </c>
      <c r="L798" s="382" t="s">
        <v>21</v>
      </c>
      <c r="M798" s="30"/>
      <c r="N798" s="30">
        <v>534.58000000000004</v>
      </c>
      <c r="O798" s="287">
        <f t="shared" si="319"/>
        <v>0</v>
      </c>
      <c r="P798" s="287">
        <f t="shared" si="320"/>
        <v>0</v>
      </c>
      <c r="Q798" s="288"/>
      <c r="R798" s="243"/>
      <c r="S798" s="378" t="str">
        <f t="shared" si="316"/>
        <v/>
      </c>
    </row>
    <row r="799" spans="2:19" ht="25.5" hidden="1" x14ac:dyDescent="0.2">
      <c r="B799" s="595" t="s">
        <v>529</v>
      </c>
      <c r="C799" s="596" t="s">
        <v>472</v>
      </c>
      <c r="D799" s="597" t="s">
        <v>623</v>
      </c>
      <c r="E799" s="589"/>
      <c r="F799" s="590"/>
      <c r="G799" s="591"/>
      <c r="H799" s="592"/>
      <c r="I799" s="631">
        <v>168.57</v>
      </c>
      <c r="J799" s="631">
        <f t="shared" si="322"/>
        <v>168.57</v>
      </c>
      <c r="K799" s="593">
        <f t="shared" si="318"/>
        <v>213.66</v>
      </c>
      <c r="L799" s="382" t="s">
        <v>21</v>
      </c>
      <c r="M799" s="30"/>
      <c r="N799" s="30">
        <v>213.66</v>
      </c>
      <c r="O799" s="287">
        <f t="shared" si="319"/>
        <v>0</v>
      </c>
      <c r="P799" s="287">
        <f t="shared" si="320"/>
        <v>0</v>
      </c>
      <c r="Q799" s="288"/>
      <c r="R799" s="243"/>
      <c r="S799" s="378" t="str">
        <f t="shared" si="316"/>
        <v/>
      </c>
    </row>
    <row r="800" spans="2:19" hidden="1" x14ac:dyDescent="0.2">
      <c r="B800" s="595">
        <v>745</v>
      </c>
      <c r="C800" s="596" t="s">
        <v>472</v>
      </c>
      <c r="D800" s="597" t="s">
        <v>624</v>
      </c>
      <c r="E800" s="589"/>
      <c r="F800" s="590"/>
      <c r="G800" s="591"/>
      <c r="H800" s="592"/>
      <c r="I800" s="631">
        <v>481.03</v>
      </c>
      <c r="J800" s="631">
        <f t="shared" si="322"/>
        <v>481.03</v>
      </c>
      <c r="K800" s="593">
        <f t="shared" si="318"/>
        <v>609.71</v>
      </c>
      <c r="L800" s="382" t="s">
        <v>21</v>
      </c>
      <c r="M800" s="30"/>
      <c r="N800" s="30">
        <v>609.71</v>
      </c>
      <c r="O800" s="287">
        <f t="shared" si="319"/>
        <v>0</v>
      </c>
      <c r="P800" s="287">
        <f t="shared" si="320"/>
        <v>0</v>
      </c>
      <c r="Q800" s="288"/>
      <c r="R800" s="243"/>
      <c r="S800" s="378" t="str">
        <f t="shared" si="316"/>
        <v/>
      </c>
    </row>
    <row r="801" spans="2:19" hidden="1" x14ac:dyDescent="0.2">
      <c r="B801" s="595" t="s">
        <v>530</v>
      </c>
      <c r="C801" s="596" t="s">
        <v>472</v>
      </c>
      <c r="D801" s="597" t="s">
        <v>625</v>
      </c>
      <c r="E801" s="589"/>
      <c r="F801" s="590"/>
      <c r="G801" s="591"/>
      <c r="H801" s="592"/>
      <c r="I801" s="631">
        <v>192.55</v>
      </c>
      <c r="J801" s="631">
        <f t="shared" si="322"/>
        <v>192.55</v>
      </c>
      <c r="K801" s="593">
        <f t="shared" si="318"/>
        <v>244.06</v>
      </c>
      <c r="L801" s="382" t="s">
        <v>21</v>
      </c>
      <c r="M801" s="30"/>
      <c r="N801" s="30">
        <v>244.06</v>
      </c>
      <c r="O801" s="287">
        <f t="shared" si="319"/>
        <v>0</v>
      </c>
      <c r="P801" s="287">
        <f t="shared" si="320"/>
        <v>0</v>
      </c>
      <c r="Q801" s="288"/>
      <c r="R801" s="243"/>
      <c r="S801" s="378" t="str">
        <f t="shared" si="316"/>
        <v/>
      </c>
    </row>
    <row r="802" spans="2:19" hidden="1" x14ac:dyDescent="0.2">
      <c r="B802" s="595">
        <v>746</v>
      </c>
      <c r="C802" s="596" t="s">
        <v>472</v>
      </c>
      <c r="D802" s="597" t="s">
        <v>626</v>
      </c>
      <c r="E802" s="589"/>
      <c r="F802" s="590"/>
      <c r="G802" s="591"/>
      <c r="H802" s="592"/>
      <c r="I802" s="631">
        <v>577.30999999999995</v>
      </c>
      <c r="J802" s="631">
        <f t="shared" si="322"/>
        <v>577.30999999999995</v>
      </c>
      <c r="K802" s="593">
        <f t="shared" si="318"/>
        <v>731.74</v>
      </c>
      <c r="L802" s="382" t="s">
        <v>21</v>
      </c>
      <c r="M802" s="30"/>
      <c r="N802" s="30">
        <v>731.74</v>
      </c>
      <c r="O802" s="287">
        <f t="shared" si="319"/>
        <v>0</v>
      </c>
      <c r="P802" s="287">
        <f t="shared" si="320"/>
        <v>0</v>
      </c>
      <c r="Q802" s="288"/>
      <c r="R802" s="243"/>
      <c r="S802" s="378" t="str">
        <f t="shared" si="316"/>
        <v/>
      </c>
    </row>
    <row r="803" spans="2:19" hidden="1" x14ac:dyDescent="0.2">
      <c r="B803" s="595" t="s">
        <v>531</v>
      </c>
      <c r="C803" s="596" t="s">
        <v>472</v>
      </c>
      <c r="D803" s="597" t="s">
        <v>627</v>
      </c>
      <c r="E803" s="589"/>
      <c r="F803" s="590"/>
      <c r="G803" s="591"/>
      <c r="H803" s="592"/>
      <c r="I803" s="631">
        <v>230.92</v>
      </c>
      <c r="J803" s="631">
        <f t="shared" si="322"/>
        <v>230.92</v>
      </c>
      <c r="K803" s="593">
        <f t="shared" si="318"/>
        <v>292.69</v>
      </c>
      <c r="L803" s="382" t="s">
        <v>21</v>
      </c>
      <c r="M803" s="30"/>
      <c r="N803" s="30">
        <v>292.69</v>
      </c>
      <c r="O803" s="287">
        <f t="shared" si="319"/>
        <v>0</v>
      </c>
      <c r="P803" s="287">
        <f t="shared" si="320"/>
        <v>0</v>
      </c>
      <c r="Q803" s="288"/>
      <c r="R803" s="243"/>
      <c r="S803" s="378" t="str">
        <f t="shared" si="316"/>
        <v/>
      </c>
    </row>
    <row r="804" spans="2:19" hidden="1" x14ac:dyDescent="0.2">
      <c r="B804" s="595">
        <v>747</v>
      </c>
      <c r="C804" s="596" t="s">
        <v>472</v>
      </c>
      <c r="D804" s="597" t="s">
        <v>628</v>
      </c>
      <c r="E804" s="589"/>
      <c r="F804" s="590"/>
      <c r="G804" s="591"/>
      <c r="H804" s="592"/>
      <c r="I804" s="631">
        <v>867.84</v>
      </c>
      <c r="J804" s="631">
        <f t="shared" si="322"/>
        <v>867.84</v>
      </c>
      <c r="K804" s="593">
        <f t="shared" si="318"/>
        <v>1099.99</v>
      </c>
      <c r="L804" s="382" t="s">
        <v>21</v>
      </c>
      <c r="M804" s="30"/>
      <c r="N804" s="30">
        <v>1099.99</v>
      </c>
      <c r="O804" s="287">
        <f t="shared" si="319"/>
        <v>0</v>
      </c>
      <c r="P804" s="287">
        <f t="shared" si="320"/>
        <v>0</v>
      </c>
      <c r="Q804" s="288"/>
      <c r="R804" s="243"/>
      <c r="S804" s="378" t="str">
        <f t="shared" si="316"/>
        <v/>
      </c>
    </row>
    <row r="805" spans="2:19" hidden="1" x14ac:dyDescent="0.2">
      <c r="B805" s="595" t="s">
        <v>532</v>
      </c>
      <c r="C805" s="596" t="s">
        <v>472</v>
      </c>
      <c r="D805" s="597" t="s">
        <v>629</v>
      </c>
      <c r="E805" s="589"/>
      <c r="F805" s="590"/>
      <c r="G805" s="591"/>
      <c r="H805" s="592"/>
      <c r="I805" s="631">
        <v>347.07</v>
      </c>
      <c r="J805" s="631">
        <f t="shared" si="322"/>
        <v>347.07</v>
      </c>
      <c r="K805" s="593">
        <f t="shared" si="318"/>
        <v>439.91</v>
      </c>
      <c r="L805" s="382" t="s">
        <v>21</v>
      </c>
      <c r="M805" s="30"/>
      <c r="N805" s="30">
        <v>439.91</v>
      </c>
      <c r="O805" s="287">
        <f t="shared" si="319"/>
        <v>0</v>
      </c>
      <c r="P805" s="287">
        <f t="shared" si="320"/>
        <v>0</v>
      </c>
      <c r="Q805" s="288"/>
      <c r="R805" s="243"/>
      <c r="S805" s="378" t="str">
        <f t="shared" si="316"/>
        <v/>
      </c>
    </row>
    <row r="806" spans="2:19" hidden="1" x14ac:dyDescent="0.2">
      <c r="B806" s="595">
        <v>748</v>
      </c>
      <c r="C806" s="596" t="s">
        <v>472</v>
      </c>
      <c r="D806" s="597" t="s">
        <v>630</v>
      </c>
      <c r="E806" s="589"/>
      <c r="F806" s="590"/>
      <c r="G806" s="591"/>
      <c r="H806" s="592"/>
      <c r="I806" s="631">
        <v>69.89</v>
      </c>
      <c r="J806" s="631">
        <f t="shared" si="322"/>
        <v>69.89</v>
      </c>
      <c r="K806" s="593">
        <f t="shared" si="318"/>
        <v>88.59</v>
      </c>
      <c r="L806" s="382" t="s">
        <v>21</v>
      </c>
      <c r="M806" s="30"/>
      <c r="N806" s="30">
        <v>88.59</v>
      </c>
      <c r="O806" s="287">
        <f t="shared" si="319"/>
        <v>0</v>
      </c>
      <c r="P806" s="287">
        <f t="shared" si="320"/>
        <v>0</v>
      </c>
      <c r="Q806" s="288"/>
      <c r="R806" s="243"/>
      <c r="S806" s="378" t="str">
        <f t="shared" si="316"/>
        <v/>
      </c>
    </row>
    <row r="807" spans="2:19" hidden="1" x14ac:dyDescent="0.2">
      <c r="B807" s="595" t="s">
        <v>533</v>
      </c>
      <c r="C807" s="596" t="s">
        <v>472</v>
      </c>
      <c r="D807" s="597" t="s">
        <v>631</v>
      </c>
      <c r="E807" s="589"/>
      <c r="F807" s="590"/>
      <c r="G807" s="591"/>
      <c r="H807" s="592"/>
      <c r="I807" s="631">
        <v>28.09</v>
      </c>
      <c r="J807" s="631">
        <f t="shared" si="322"/>
        <v>28.09</v>
      </c>
      <c r="K807" s="593">
        <f t="shared" si="318"/>
        <v>35.6</v>
      </c>
      <c r="L807" s="382" t="s">
        <v>21</v>
      </c>
      <c r="M807" s="30"/>
      <c r="N807" s="30">
        <v>35.6</v>
      </c>
      <c r="O807" s="287">
        <f t="shared" si="319"/>
        <v>0</v>
      </c>
      <c r="P807" s="287">
        <f t="shared" si="320"/>
        <v>0</v>
      </c>
      <c r="Q807" s="288"/>
      <c r="R807" s="243"/>
      <c r="S807" s="378" t="str">
        <f t="shared" si="316"/>
        <v/>
      </c>
    </row>
    <row r="808" spans="2:19" hidden="1" x14ac:dyDescent="0.2">
      <c r="B808" s="595">
        <v>759</v>
      </c>
      <c r="C808" s="596" t="s">
        <v>472</v>
      </c>
      <c r="D808" s="597" t="s">
        <v>668</v>
      </c>
      <c r="E808" s="589"/>
      <c r="F808" s="590"/>
      <c r="G808" s="591"/>
      <c r="H808" s="592"/>
      <c r="I808" s="631">
        <v>536.12</v>
      </c>
      <c r="J808" s="631">
        <f t="shared" si="322"/>
        <v>536.12</v>
      </c>
      <c r="K808" s="593">
        <f t="shared" si="318"/>
        <v>679.53</v>
      </c>
      <c r="L808" s="382" t="s">
        <v>21</v>
      </c>
      <c r="M808" s="30"/>
      <c r="N808" s="30">
        <v>679.53</v>
      </c>
      <c r="O808" s="287">
        <f t="shared" si="319"/>
        <v>0</v>
      </c>
      <c r="P808" s="287">
        <f t="shared" si="320"/>
        <v>0</v>
      </c>
      <c r="Q808" s="288"/>
      <c r="R808" s="243"/>
      <c r="S808" s="378" t="str">
        <f t="shared" si="316"/>
        <v/>
      </c>
    </row>
    <row r="809" spans="2:19" hidden="1" x14ac:dyDescent="0.2">
      <c r="B809" s="595" t="s">
        <v>534</v>
      </c>
      <c r="C809" s="596" t="s">
        <v>472</v>
      </c>
      <c r="D809" s="597" t="s">
        <v>632</v>
      </c>
      <c r="E809" s="589"/>
      <c r="F809" s="590"/>
      <c r="G809" s="591"/>
      <c r="H809" s="592"/>
      <c r="I809" s="631">
        <v>70.239999999999995</v>
      </c>
      <c r="J809" s="631">
        <f t="shared" si="322"/>
        <v>70.239999999999995</v>
      </c>
      <c r="K809" s="593">
        <f t="shared" si="318"/>
        <v>89.03</v>
      </c>
      <c r="L809" s="382" t="s">
        <v>21</v>
      </c>
      <c r="M809" s="30"/>
      <c r="N809" s="30">
        <v>89.03</v>
      </c>
      <c r="O809" s="287">
        <f t="shared" si="319"/>
        <v>0</v>
      </c>
      <c r="P809" s="287">
        <f t="shared" si="320"/>
        <v>0</v>
      </c>
      <c r="Q809" s="288"/>
      <c r="R809" s="243"/>
      <c r="S809" s="378" t="str">
        <f t="shared" si="316"/>
        <v/>
      </c>
    </row>
    <row r="810" spans="2:19" hidden="1" x14ac:dyDescent="0.2">
      <c r="B810" s="595">
        <v>751</v>
      </c>
      <c r="C810" s="596" t="s">
        <v>472</v>
      </c>
      <c r="D810" s="597" t="s">
        <v>556</v>
      </c>
      <c r="E810" s="589"/>
      <c r="F810" s="590"/>
      <c r="G810" s="591"/>
      <c r="H810" s="592"/>
      <c r="I810" s="631">
        <v>11.31</v>
      </c>
      <c r="J810" s="631">
        <f t="shared" si="322"/>
        <v>11.31</v>
      </c>
      <c r="K810" s="593">
        <f t="shared" si="318"/>
        <v>14.34</v>
      </c>
      <c r="L810" s="382" t="s">
        <v>21</v>
      </c>
      <c r="M810" s="30"/>
      <c r="N810" s="30">
        <v>14.34</v>
      </c>
      <c r="O810" s="287">
        <f t="shared" si="319"/>
        <v>0</v>
      </c>
      <c r="P810" s="287">
        <f t="shared" si="320"/>
        <v>0</v>
      </c>
      <c r="Q810" s="288"/>
      <c r="R810" s="243"/>
      <c r="S810" s="378" t="str">
        <f t="shared" si="316"/>
        <v/>
      </c>
    </row>
    <row r="811" spans="2:19" hidden="1" x14ac:dyDescent="0.2">
      <c r="B811" s="595" t="s">
        <v>535</v>
      </c>
      <c r="C811" s="596" t="s">
        <v>472</v>
      </c>
      <c r="D811" s="597" t="s">
        <v>541</v>
      </c>
      <c r="E811" s="589"/>
      <c r="F811" s="590"/>
      <c r="G811" s="591"/>
      <c r="H811" s="592"/>
      <c r="I811" s="631">
        <v>4.45</v>
      </c>
      <c r="J811" s="631">
        <f t="shared" si="322"/>
        <v>4.45</v>
      </c>
      <c r="K811" s="593">
        <f t="shared" si="318"/>
        <v>5.64</v>
      </c>
      <c r="L811" s="382" t="s">
        <v>21</v>
      </c>
      <c r="M811" s="30"/>
      <c r="N811" s="30">
        <v>5.64</v>
      </c>
      <c r="O811" s="287">
        <f t="shared" si="319"/>
        <v>0</v>
      </c>
      <c r="P811" s="287">
        <f t="shared" si="320"/>
        <v>0</v>
      </c>
      <c r="Q811" s="288"/>
      <c r="R811" s="243"/>
      <c r="S811" s="378" t="str">
        <f t="shared" si="316"/>
        <v/>
      </c>
    </row>
    <row r="812" spans="2:19" hidden="1" x14ac:dyDescent="0.2">
      <c r="B812" s="595">
        <v>752</v>
      </c>
      <c r="C812" s="596" t="s">
        <v>472</v>
      </c>
      <c r="D812" s="597" t="s">
        <v>557</v>
      </c>
      <c r="E812" s="589"/>
      <c r="F812" s="590"/>
      <c r="G812" s="591"/>
      <c r="H812" s="592"/>
      <c r="I812" s="631">
        <v>28.78</v>
      </c>
      <c r="J812" s="631">
        <f t="shared" si="322"/>
        <v>28.78</v>
      </c>
      <c r="K812" s="593">
        <f t="shared" si="318"/>
        <v>36.479999999999997</v>
      </c>
      <c r="L812" s="382" t="s">
        <v>21</v>
      </c>
      <c r="M812" s="30"/>
      <c r="N812" s="30">
        <v>36.479999999999997</v>
      </c>
      <c r="O812" s="287">
        <f t="shared" si="319"/>
        <v>0</v>
      </c>
      <c r="P812" s="287">
        <f t="shared" si="320"/>
        <v>0</v>
      </c>
      <c r="Q812" s="288"/>
      <c r="R812" s="243"/>
      <c r="S812" s="378" t="str">
        <f t="shared" si="316"/>
        <v/>
      </c>
    </row>
    <row r="813" spans="2:19" hidden="1" x14ac:dyDescent="0.2">
      <c r="B813" s="595" t="s">
        <v>536</v>
      </c>
      <c r="C813" s="596" t="s">
        <v>472</v>
      </c>
      <c r="D813" s="597" t="s">
        <v>542</v>
      </c>
      <c r="E813" s="589"/>
      <c r="F813" s="590"/>
      <c r="G813" s="591"/>
      <c r="H813" s="592"/>
      <c r="I813" s="631">
        <v>28.78</v>
      </c>
      <c r="J813" s="631">
        <f t="shared" si="322"/>
        <v>28.78</v>
      </c>
      <c r="K813" s="593">
        <f t="shared" si="318"/>
        <v>36.479999999999997</v>
      </c>
      <c r="L813" s="382" t="s">
        <v>21</v>
      </c>
      <c r="M813" s="30"/>
      <c r="N813" s="30">
        <v>36.479999999999997</v>
      </c>
      <c r="O813" s="287">
        <f t="shared" si="319"/>
        <v>0</v>
      </c>
      <c r="P813" s="287">
        <f t="shared" si="320"/>
        <v>0</v>
      </c>
      <c r="Q813" s="288"/>
      <c r="R813" s="243"/>
      <c r="S813" s="378" t="str">
        <f t="shared" si="316"/>
        <v/>
      </c>
    </row>
    <row r="814" spans="2:19" hidden="1" x14ac:dyDescent="0.2">
      <c r="B814" s="595">
        <v>753</v>
      </c>
      <c r="C814" s="596" t="s">
        <v>472</v>
      </c>
      <c r="D814" s="597" t="s">
        <v>559</v>
      </c>
      <c r="E814" s="589"/>
      <c r="F814" s="590"/>
      <c r="G814" s="591"/>
      <c r="H814" s="592"/>
      <c r="I814" s="631">
        <v>62.7</v>
      </c>
      <c r="J814" s="631">
        <f t="shared" si="322"/>
        <v>62.7</v>
      </c>
      <c r="K814" s="593">
        <f t="shared" si="318"/>
        <v>79.47</v>
      </c>
      <c r="L814" s="382" t="s">
        <v>21</v>
      </c>
      <c r="M814" s="30"/>
      <c r="N814" s="30">
        <v>79.47</v>
      </c>
      <c r="O814" s="287">
        <f t="shared" si="319"/>
        <v>0</v>
      </c>
      <c r="P814" s="287">
        <f t="shared" si="320"/>
        <v>0</v>
      </c>
      <c r="Q814" s="288"/>
      <c r="R814" s="243"/>
      <c r="S814" s="378" t="str">
        <f t="shared" si="316"/>
        <v/>
      </c>
    </row>
    <row r="815" spans="2:19" hidden="1" x14ac:dyDescent="0.2">
      <c r="B815" s="595" t="s">
        <v>537</v>
      </c>
      <c r="C815" s="596" t="s">
        <v>472</v>
      </c>
      <c r="D815" s="597" t="s">
        <v>543</v>
      </c>
      <c r="E815" s="589"/>
      <c r="F815" s="590"/>
      <c r="G815" s="591"/>
      <c r="H815" s="592"/>
      <c r="I815" s="631">
        <v>62.7</v>
      </c>
      <c r="J815" s="631">
        <f t="shared" si="322"/>
        <v>62.7</v>
      </c>
      <c r="K815" s="593">
        <f t="shared" si="318"/>
        <v>79.47</v>
      </c>
      <c r="L815" s="382" t="s">
        <v>21</v>
      </c>
      <c r="M815" s="30"/>
      <c r="N815" s="30">
        <v>79.47</v>
      </c>
      <c r="O815" s="287">
        <f t="shared" si="319"/>
        <v>0</v>
      </c>
      <c r="P815" s="287">
        <f t="shared" si="320"/>
        <v>0</v>
      </c>
      <c r="Q815" s="288"/>
      <c r="R815" s="243"/>
      <c r="S815" s="378" t="str">
        <f t="shared" si="316"/>
        <v/>
      </c>
    </row>
    <row r="816" spans="2:19" hidden="1" x14ac:dyDescent="0.2">
      <c r="B816" s="595">
        <v>754</v>
      </c>
      <c r="C816" s="596" t="s">
        <v>472</v>
      </c>
      <c r="D816" s="597" t="s">
        <v>669</v>
      </c>
      <c r="E816" s="589"/>
      <c r="F816" s="590"/>
      <c r="G816" s="591"/>
      <c r="H816" s="592"/>
      <c r="I816" s="631">
        <v>71.95</v>
      </c>
      <c r="J816" s="631">
        <f t="shared" si="322"/>
        <v>71.95</v>
      </c>
      <c r="K816" s="593">
        <f t="shared" si="318"/>
        <v>91.2</v>
      </c>
      <c r="L816" s="382" t="s">
        <v>21</v>
      </c>
      <c r="M816" s="30"/>
      <c r="N816" s="30">
        <v>91.2</v>
      </c>
      <c r="O816" s="287">
        <f t="shared" si="319"/>
        <v>0</v>
      </c>
      <c r="P816" s="287">
        <f t="shared" si="320"/>
        <v>0</v>
      </c>
      <c r="Q816" s="288"/>
      <c r="R816" s="243"/>
      <c r="S816" s="378" t="str">
        <f t="shared" si="316"/>
        <v/>
      </c>
    </row>
    <row r="817" spans="2:19" hidden="1" x14ac:dyDescent="0.2">
      <c r="B817" s="595">
        <v>755</v>
      </c>
      <c r="C817" s="596" t="s">
        <v>472</v>
      </c>
      <c r="D817" s="597" t="s">
        <v>670</v>
      </c>
      <c r="E817" s="589"/>
      <c r="F817" s="590"/>
      <c r="G817" s="591"/>
      <c r="H817" s="592"/>
      <c r="I817" s="631">
        <v>15.08</v>
      </c>
      <c r="J817" s="631">
        <f t="shared" si="322"/>
        <v>15.08</v>
      </c>
      <c r="K817" s="593">
        <f t="shared" si="318"/>
        <v>19.11</v>
      </c>
      <c r="L817" s="382" t="s">
        <v>21</v>
      </c>
      <c r="M817" s="30"/>
      <c r="N817" s="30">
        <v>19.11</v>
      </c>
      <c r="O817" s="287">
        <f t="shared" si="319"/>
        <v>0</v>
      </c>
      <c r="P817" s="287">
        <f t="shared" si="320"/>
        <v>0</v>
      </c>
      <c r="Q817" s="288"/>
      <c r="R817" s="243"/>
      <c r="S817" s="378" t="str">
        <f t="shared" si="316"/>
        <v/>
      </c>
    </row>
    <row r="818" spans="2:19" hidden="1" x14ac:dyDescent="0.2">
      <c r="B818" s="595" t="s">
        <v>538</v>
      </c>
      <c r="C818" s="596" t="s">
        <v>472</v>
      </c>
      <c r="D818" s="597" t="s">
        <v>544</v>
      </c>
      <c r="E818" s="589"/>
      <c r="F818" s="590"/>
      <c r="G818" s="591"/>
      <c r="H818" s="592"/>
      <c r="I818" s="631">
        <v>6.17</v>
      </c>
      <c r="J818" s="631">
        <f t="shared" si="322"/>
        <v>6.17</v>
      </c>
      <c r="K818" s="593">
        <f t="shared" si="318"/>
        <v>7.82</v>
      </c>
      <c r="L818" s="382" t="s">
        <v>21</v>
      </c>
      <c r="M818" s="30"/>
      <c r="N818" s="30">
        <v>7.82</v>
      </c>
      <c r="O818" s="287">
        <f t="shared" si="319"/>
        <v>0</v>
      </c>
      <c r="P818" s="287">
        <f t="shared" si="320"/>
        <v>0</v>
      </c>
      <c r="Q818" s="288"/>
      <c r="R818" s="243"/>
      <c r="S818" s="378" t="str">
        <f t="shared" si="316"/>
        <v/>
      </c>
    </row>
    <row r="819" spans="2:19" hidden="1" x14ac:dyDescent="0.2">
      <c r="B819" s="595">
        <v>756</v>
      </c>
      <c r="C819" s="596" t="s">
        <v>472</v>
      </c>
      <c r="D819" s="597" t="s">
        <v>671</v>
      </c>
      <c r="E819" s="589"/>
      <c r="F819" s="590"/>
      <c r="G819" s="591"/>
      <c r="H819" s="592"/>
      <c r="I819" s="631">
        <v>24.67</v>
      </c>
      <c r="J819" s="631">
        <f t="shared" si="322"/>
        <v>24.67</v>
      </c>
      <c r="K819" s="593">
        <f t="shared" si="318"/>
        <v>31.27</v>
      </c>
      <c r="L819" s="382" t="s">
        <v>21</v>
      </c>
      <c r="M819" s="30"/>
      <c r="N819" s="30">
        <v>31.27</v>
      </c>
      <c r="O819" s="287">
        <f t="shared" si="319"/>
        <v>0</v>
      </c>
      <c r="P819" s="287">
        <f t="shared" si="320"/>
        <v>0</v>
      </c>
      <c r="Q819" s="288"/>
      <c r="R819" s="243"/>
      <c r="S819" s="378" t="str">
        <f t="shared" si="316"/>
        <v/>
      </c>
    </row>
    <row r="820" spans="2:19" hidden="1" x14ac:dyDescent="0.2">
      <c r="B820" s="595" t="s">
        <v>539</v>
      </c>
      <c r="C820" s="596" t="s">
        <v>472</v>
      </c>
      <c r="D820" s="597" t="s">
        <v>545</v>
      </c>
      <c r="E820" s="589"/>
      <c r="F820" s="590"/>
      <c r="G820" s="591"/>
      <c r="H820" s="592"/>
      <c r="I820" s="631">
        <v>9.94</v>
      </c>
      <c r="J820" s="631">
        <f t="shared" si="322"/>
        <v>9.94</v>
      </c>
      <c r="K820" s="593">
        <f t="shared" si="318"/>
        <v>12.6</v>
      </c>
      <c r="L820" s="382" t="s">
        <v>21</v>
      </c>
      <c r="M820" s="30"/>
      <c r="N820" s="30">
        <v>12.6</v>
      </c>
      <c r="O820" s="287">
        <f t="shared" si="319"/>
        <v>0</v>
      </c>
      <c r="P820" s="287">
        <f t="shared" si="320"/>
        <v>0</v>
      </c>
      <c r="Q820" s="288"/>
      <c r="R820" s="243"/>
      <c r="S820" s="378" t="str">
        <f t="shared" si="316"/>
        <v/>
      </c>
    </row>
    <row r="821" spans="2:19" hidden="1" x14ac:dyDescent="0.2">
      <c r="B821" s="595">
        <v>757</v>
      </c>
      <c r="C821" s="596" t="s">
        <v>472</v>
      </c>
      <c r="D821" s="597" t="s">
        <v>672</v>
      </c>
      <c r="E821" s="589"/>
      <c r="F821" s="590"/>
      <c r="G821" s="591"/>
      <c r="H821" s="592"/>
      <c r="I821" s="631">
        <v>15.42</v>
      </c>
      <c r="J821" s="631">
        <f t="shared" si="322"/>
        <v>15.42</v>
      </c>
      <c r="K821" s="593">
        <f t="shared" si="318"/>
        <v>19.54</v>
      </c>
      <c r="L821" s="382" t="s">
        <v>21</v>
      </c>
      <c r="M821" s="30"/>
      <c r="N821" s="30">
        <v>19.54</v>
      </c>
      <c r="O821" s="287">
        <f t="shared" si="319"/>
        <v>0</v>
      </c>
      <c r="P821" s="287">
        <f t="shared" si="320"/>
        <v>0</v>
      </c>
      <c r="Q821" s="288"/>
      <c r="R821" s="243"/>
      <c r="S821" s="378" t="str">
        <f t="shared" si="316"/>
        <v/>
      </c>
    </row>
    <row r="822" spans="2:19" hidden="1" x14ac:dyDescent="0.2">
      <c r="B822" s="595" t="s">
        <v>540</v>
      </c>
      <c r="C822" s="596" t="s">
        <v>472</v>
      </c>
      <c r="D822" s="597" t="s">
        <v>546</v>
      </c>
      <c r="E822" s="589"/>
      <c r="F822" s="590"/>
      <c r="G822" s="591"/>
      <c r="H822" s="592"/>
      <c r="I822" s="631">
        <v>6.17</v>
      </c>
      <c r="J822" s="631">
        <f t="shared" si="322"/>
        <v>6.17</v>
      </c>
      <c r="K822" s="593">
        <f t="shared" si="318"/>
        <v>7.82</v>
      </c>
      <c r="L822" s="382" t="s">
        <v>21</v>
      </c>
      <c r="M822" s="30"/>
      <c r="N822" s="30">
        <v>7.82</v>
      </c>
      <c r="O822" s="287">
        <f t="shared" si="319"/>
        <v>0</v>
      </c>
      <c r="P822" s="287">
        <f t="shared" si="320"/>
        <v>0</v>
      </c>
      <c r="Q822" s="288"/>
      <c r="R822" s="243"/>
      <c r="S822" s="378" t="str">
        <f t="shared" si="316"/>
        <v/>
      </c>
    </row>
    <row r="823" spans="2:19" hidden="1" x14ac:dyDescent="0.2">
      <c r="B823" s="595">
        <v>947</v>
      </c>
      <c r="C823" s="596" t="s">
        <v>472</v>
      </c>
      <c r="D823" s="597" t="s">
        <v>673</v>
      </c>
      <c r="E823" s="589"/>
      <c r="F823" s="590"/>
      <c r="G823" s="591"/>
      <c r="H823" s="592"/>
      <c r="I823" s="631">
        <v>34.26</v>
      </c>
      <c r="J823" s="631">
        <f t="shared" si="322"/>
        <v>34.26</v>
      </c>
      <c r="K823" s="593">
        <f t="shared" si="318"/>
        <v>43.42</v>
      </c>
      <c r="L823" s="382" t="s">
        <v>21</v>
      </c>
      <c r="M823" s="30"/>
      <c r="N823" s="30">
        <v>43.42</v>
      </c>
      <c r="O823" s="287">
        <f t="shared" si="319"/>
        <v>0</v>
      </c>
      <c r="P823" s="287">
        <f t="shared" si="320"/>
        <v>0</v>
      </c>
      <c r="Q823" s="288"/>
      <c r="R823" s="243"/>
      <c r="S823" s="378" t="str">
        <f t="shared" si="316"/>
        <v/>
      </c>
    </row>
    <row r="824" spans="2:19" hidden="1" x14ac:dyDescent="0.2">
      <c r="B824" s="595" t="s">
        <v>571</v>
      </c>
      <c r="C824" s="596" t="s">
        <v>472</v>
      </c>
      <c r="D824" s="597" t="s">
        <v>572</v>
      </c>
      <c r="E824" s="589"/>
      <c r="F824" s="590"/>
      <c r="G824" s="591"/>
      <c r="H824" s="592"/>
      <c r="I824" s="631">
        <v>34.26</v>
      </c>
      <c r="J824" s="631">
        <f t="shared" si="322"/>
        <v>34.26</v>
      </c>
      <c r="K824" s="593">
        <f t="shared" si="318"/>
        <v>43.42</v>
      </c>
      <c r="L824" s="382" t="s">
        <v>21</v>
      </c>
      <c r="M824" s="30"/>
      <c r="N824" s="30">
        <v>43.42</v>
      </c>
      <c r="O824" s="287">
        <f t="shared" si="319"/>
        <v>0</v>
      </c>
      <c r="P824" s="287">
        <f t="shared" si="320"/>
        <v>0</v>
      </c>
      <c r="Q824" s="288"/>
      <c r="R824" s="243"/>
      <c r="S824" s="378" t="str">
        <f t="shared" si="316"/>
        <v/>
      </c>
    </row>
    <row r="825" spans="2:19" hidden="1" x14ac:dyDescent="0.2">
      <c r="B825" s="595">
        <v>760</v>
      </c>
      <c r="C825" s="596" t="s">
        <v>472</v>
      </c>
      <c r="D825" s="597" t="s">
        <v>574</v>
      </c>
      <c r="E825" s="589"/>
      <c r="F825" s="590"/>
      <c r="G825" s="591"/>
      <c r="H825" s="592"/>
      <c r="I825" s="631">
        <v>17.47</v>
      </c>
      <c r="J825" s="631">
        <f t="shared" si="322"/>
        <v>17.47</v>
      </c>
      <c r="K825" s="593">
        <f t="shared" si="318"/>
        <v>22.14</v>
      </c>
      <c r="L825" s="382" t="s">
        <v>21</v>
      </c>
      <c r="M825" s="30"/>
      <c r="N825" s="30">
        <v>22.14</v>
      </c>
      <c r="O825" s="287">
        <f t="shared" si="319"/>
        <v>0</v>
      </c>
      <c r="P825" s="287">
        <f t="shared" si="320"/>
        <v>0</v>
      </c>
      <c r="Q825" s="288"/>
      <c r="R825" s="243"/>
      <c r="S825" s="378" t="str">
        <f t="shared" si="316"/>
        <v/>
      </c>
    </row>
    <row r="826" spans="2:19" hidden="1" x14ac:dyDescent="0.2">
      <c r="B826" s="595" t="s">
        <v>573</v>
      </c>
      <c r="C826" s="596" t="s">
        <v>472</v>
      </c>
      <c r="D826" s="597" t="s">
        <v>575</v>
      </c>
      <c r="E826" s="589"/>
      <c r="F826" s="590"/>
      <c r="G826" s="591"/>
      <c r="H826" s="592"/>
      <c r="I826" s="631">
        <v>6.85</v>
      </c>
      <c r="J826" s="631">
        <f t="shared" si="322"/>
        <v>6.85</v>
      </c>
      <c r="K826" s="593">
        <f t="shared" si="318"/>
        <v>8.68</v>
      </c>
      <c r="L826" s="382" t="s">
        <v>21</v>
      </c>
      <c r="M826" s="30"/>
      <c r="N826" s="30">
        <v>8.68</v>
      </c>
      <c r="O826" s="287">
        <f t="shared" si="319"/>
        <v>0</v>
      </c>
      <c r="P826" s="287">
        <f t="shared" si="320"/>
        <v>0</v>
      </c>
      <c r="Q826" s="288"/>
      <c r="R826" s="243"/>
      <c r="S826" s="378" t="str">
        <f t="shared" si="316"/>
        <v/>
      </c>
    </row>
    <row r="827" spans="2:19" hidden="1" x14ac:dyDescent="0.2">
      <c r="B827" s="595">
        <v>761</v>
      </c>
      <c r="C827" s="596" t="s">
        <v>472</v>
      </c>
      <c r="D827" s="597" t="s">
        <v>577</v>
      </c>
      <c r="E827" s="589"/>
      <c r="F827" s="590"/>
      <c r="G827" s="591"/>
      <c r="H827" s="592"/>
      <c r="I827" s="631">
        <v>13.36</v>
      </c>
      <c r="J827" s="631">
        <f t="shared" si="322"/>
        <v>13.36</v>
      </c>
      <c r="K827" s="593">
        <f t="shared" si="318"/>
        <v>16.93</v>
      </c>
      <c r="L827" s="382" t="s">
        <v>21</v>
      </c>
      <c r="M827" s="30"/>
      <c r="N827" s="30">
        <v>16.93</v>
      </c>
      <c r="O827" s="287">
        <f t="shared" si="319"/>
        <v>0</v>
      </c>
      <c r="P827" s="287">
        <f t="shared" si="320"/>
        <v>0</v>
      </c>
      <c r="Q827" s="288"/>
      <c r="R827" s="243"/>
      <c r="S827" s="378" t="str">
        <f t="shared" si="316"/>
        <v/>
      </c>
    </row>
    <row r="828" spans="2:19" hidden="1" x14ac:dyDescent="0.2">
      <c r="B828" s="595" t="s">
        <v>576</v>
      </c>
      <c r="C828" s="596" t="s">
        <v>472</v>
      </c>
      <c r="D828" s="597" t="s">
        <v>633</v>
      </c>
      <c r="E828" s="589"/>
      <c r="F828" s="590"/>
      <c r="G828" s="591"/>
      <c r="H828" s="592"/>
      <c r="I828" s="631">
        <v>5.48</v>
      </c>
      <c r="J828" s="631">
        <f t="shared" si="322"/>
        <v>5.48</v>
      </c>
      <c r="K828" s="593">
        <f t="shared" si="318"/>
        <v>6.95</v>
      </c>
      <c r="L828" s="382" t="s">
        <v>21</v>
      </c>
      <c r="M828" s="30"/>
      <c r="N828" s="30">
        <v>6.95</v>
      </c>
      <c r="O828" s="287">
        <f t="shared" si="319"/>
        <v>0</v>
      </c>
      <c r="P828" s="287">
        <f t="shared" si="320"/>
        <v>0</v>
      </c>
      <c r="Q828" s="288"/>
      <c r="R828" s="243"/>
      <c r="S828" s="378" t="str">
        <f t="shared" si="316"/>
        <v/>
      </c>
    </row>
    <row r="829" spans="2:19" hidden="1" x14ac:dyDescent="0.2">
      <c r="B829" s="595">
        <v>762</v>
      </c>
      <c r="C829" s="596" t="s">
        <v>472</v>
      </c>
      <c r="D829" s="597" t="s">
        <v>579</v>
      </c>
      <c r="E829" s="589"/>
      <c r="F829" s="590"/>
      <c r="G829" s="591"/>
      <c r="H829" s="592"/>
      <c r="I829" s="631">
        <v>21.58</v>
      </c>
      <c r="J829" s="631">
        <f t="shared" si="322"/>
        <v>21.58</v>
      </c>
      <c r="K829" s="593">
        <f t="shared" si="318"/>
        <v>27.35</v>
      </c>
      <c r="L829" s="382" t="s">
        <v>21</v>
      </c>
      <c r="M829" s="30"/>
      <c r="N829" s="30">
        <v>27.35</v>
      </c>
      <c r="O829" s="287">
        <f t="shared" si="319"/>
        <v>0</v>
      </c>
      <c r="P829" s="287">
        <f t="shared" si="320"/>
        <v>0</v>
      </c>
      <c r="Q829" s="288"/>
      <c r="R829" s="243"/>
      <c r="S829" s="378" t="str">
        <f t="shared" si="316"/>
        <v/>
      </c>
    </row>
    <row r="830" spans="2:19" hidden="1" x14ac:dyDescent="0.2">
      <c r="B830" s="595" t="s">
        <v>578</v>
      </c>
      <c r="C830" s="596" t="s">
        <v>472</v>
      </c>
      <c r="D830" s="597" t="s">
        <v>580</v>
      </c>
      <c r="E830" s="589"/>
      <c r="F830" s="590"/>
      <c r="G830" s="591"/>
      <c r="H830" s="592"/>
      <c r="I830" s="631">
        <v>8.57</v>
      </c>
      <c r="J830" s="631">
        <f t="shared" si="322"/>
        <v>8.57</v>
      </c>
      <c r="K830" s="593">
        <f t="shared" si="318"/>
        <v>10.86</v>
      </c>
      <c r="L830" s="382" t="s">
        <v>21</v>
      </c>
      <c r="M830" s="30"/>
      <c r="N830" s="30">
        <v>10.86</v>
      </c>
      <c r="O830" s="287">
        <f t="shared" si="319"/>
        <v>0</v>
      </c>
      <c r="P830" s="287">
        <f t="shared" si="320"/>
        <v>0</v>
      </c>
      <c r="Q830" s="288"/>
      <c r="R830" s="243"/>
      <c r="S830" s="378" t="str">
        <f t="shared" si="316"/>
        <v/>
      </c>
    </row>
    <row r="831" spans="2:19" ht="25.5" hidden="1" x14ac:dyDescent="0.2">
      <c r="B831" s="595">
        <v>763</v>
      </c>
      <c r="C831" s="596" t="s">
        <v>472</v>
      </c>
      <c r="D831" s="597" t="s">
        <v>581</v>
      </c>
      <c r="E831" s="589"/>
      <c r="F831" s="590"/>
      <c r="G831" s="591"/>
      <c r="H831" s="592"/>
      <c r="I831" s="631">
        <v>23.3</v>
      </c>
      <c r="J831" s="631">
        <f t="shared" si="322"/>
        <v>23.3</v>
      </c>
      <c r="K831" s="593">
        <f t="shared" si="318"/>
        <v>29.53</v>
      </c>
      <c r="L831" s="382" t="s">
        <v>21</v>
      </c>
      <c r="M831" s="30"/>
      <c r="N831" s="30">
        <v>29.53</v>
      </c>
      <c r="O831" s="287">
        <f t="shared" si="319"/>
        <v>0</v>
      </c>
      <c r="P831" s="287">
        <f t="shared" si="320"/>
        <v>0</v>
      </c>
      <c r="Q831" s="288"/>
      <c r="R831" s="243"/>
      <c r="S831" s="378" t="str">
        <f t="shared" ref="S831:S894" si="323">IF(R831="x","x",IF(R831="y","x",IF(R831="xy","x",IF(P831&gt;0,"x",""))))</f>
        <v/>
      </c>
    </row>
    <row r="832" spans="2:19" hidden="1" x14ac:dyDescent="0.2">
      <c r="B832" s="595">
        <v>767</v>
      </c>
      <c r="C832" s="596" t="s">
        <v>472</v>
      </c>
      <c r="D832" s="597" t="s">
        <v>674</v>
      </c>
      <c r="E832" s="589"/>
      <c r="F832" s="590">
        <v>0</v>
      </c>
      <c r="G832" s="591"/>
      <c r="H832" s="592">
        <v>0</v>
      </c>
      <c r="I832" s="631">
        <v>19.53</v>
      </c>
      <c r="J832" s="631">
        <f t="shared" si="322"/>
        <v>19.53</v>
      </c>
      <c r="K832" s="593">
        <f t="shared" si="318"/>
        <v>24.75</v>
      </c>
      <c r="L832" s="382" t="s">
        <v>21</v>
      </c>
      <c r="M832" s="30"/>
      <c r="N832" s="30">
        <v>24.75</v>
      </c>
      <c r="O832" s="287">
        <f t="shared" si="319"/>
        <v>0</v>
      </c>
      <c r="P832" s="287">
        <f t="shared" si="320"/>
        <v>0</v>
      </c>
      <c r="Q832" s="288"/>
      <c r="R832" s="243"/>
      <c r="S832" s="378" t="str">
        <f t="shared" si="323"/>
        <v/>
      </c>
    </row>
    <row r="833" spans="2:19" hidden="1" x14ac:dyDescent="0.2">
      <c r="B833" s="595">
        <v>768</v>
      </c>
      <c r="C833" s="596" t="s">
        <v>472</v>
      </c>
      <c r="D833" s="597" t="s">
        <v>675</v>
      </c>
      <c r="E833" s="589"/>
      <c r="F833" s="590">
        <v>0</v>
      </c>
      <c r="G833" s="591"/>
      <c r="H833" s="592">
        <v>0</v>
      </c>
      <c r="I833" s="631">
        <v>44.54</v>
      </c>
      <c r="J833" s="631">
        <f t="shared" si="322"/>
        <v>44.54</v>
      </c>
      <c r="K833" s="593">
        <f t="shared" si="318"/>
        <v>56.45</v>
      </c>
      <c r="L833" s="382" t="s">
        <v>21</v>
      </c>
      <c r="M833" s="30"/>
      <c r="N833" s="30">
        <v>56.45</v>
      </c>
      <c r="O833" s="287">
        <f t="shared" si="319"/>
        <v>0</v>
      </c>
      <c r="P833" s="287">
        <f t="shared" si="320"/>
        <v>0</v>
      </c>
      <c r="Q833" s="288"/>
      <c r="R833" s="243"/>
      <c r="S833" s="378" t="str">
        <f t="shared" si="323"/>
        <v/>
      </c>
    </row>
    <row r="834" spans="2:19" hidden="1" x14ac:dyDescent="0.2">
      <c r="B834" s="595">
        <v>769</v>
      </c>
      <c r="C834" s="596" t="s">
        <v>472</v>
      </c>
      <c r="D834" s="597" t="s">
        <v>676</v>
      </c>
      <c r="E834" s="589"/>
      <c r="F834" s="590">
        <v>0</v>
      </c>
      <c r="G834" s="591"/>
      <c r="H834" s="592">
        <v>0</v>
      </c>
      <c r="I834" s="631">
        <v>163.77000000000001</v>
      </c>
      <c r="J834" s="631">
        <f t="shared" si="322"/>
        <v>163.77000000000001</v>
      </c>
      <c r="K834" s="593">
        <f t="shared" si="318"/>
        <v>207.58</v>
      </c>
      <c r="L834" s="382" t="s">
        <v>21</v>
      </c>
      <c r="M834" s="30"/>
      <c r="N834" s="30">
        <v>207.58</v>
      </c>
      <c r="O834" s="287">
        <f t="shared" si="319"/>
        <v>0</v>
      </c>
      <c r="P834" s="287">
        <f t="shared" si="320"/>
        <v>0</v>
      </c>
      <c r="Q834" s="288"/>
      <c r="R834" s="243"/>
      <c r="S834" s="378" t="str">
        <f t="shared" si="323"/>
        <v/>
      </c>
    </row>
    <row r="835" spans="2:19" hidden="1" x14ac:dyDescent="0.2">
      <c r="B835" s="595">
        <v>770</v>
      </c>
      <c r="C835" s="596" t="s">
        <v>472</v>
      </c>
      <c r="D835" s="597" t="s">
        <v>550</v>
      </c>
      <c r="E835" s="589"/>
      <c r="F835" s="590"/>
      <c r="G835" s="591"/>
      <c r="H835" s="592"/>
      <c r="I835" s="631">
        <v>56.53</v>
      </c>
      <c r="J835" s="631">
        <f t="shared" si="322"/>
        <v>56.53</v>
      </c>
      <c r="K835" s="593">
        <f t="shared" si="318"/>
        <v>71.650000000000006</v>
      </c>
      <c r="L835" s="382" t="s">
        <v>21</v>
      </c>
      <c r="M835" s="30"/>
      <c r="N835" s="30">
        <v>71.650000000000006</v>
      </c>
      <c r="O835" s="287">
        <f t="shared" si="319"/>
        <v>0</v>
      </c>
      <c r="P835" s="287">
        <f t="shared" si="320"/>
        <v>0</v>
      </c>
      <c r="Q835" s="288"/>
      <c r="R835" s="243"/>
      <c r="S835" s="378" t="str">
        <f t="shared" si="323"/>
        <v/>
      </c>
    </row>
    <row r="836" spans="2:19" hidden="1" x14ac:dyDescent="0.2">
      <c r="B836" s="595" t="s">
        <v>547</v>
      </c>
      <c r="C836" s="596" t="s">
        <v>472</v>
      </c>
      <c r="D836" s="597" t="s">
        <v>551</v>
      </c>
      <c r="E836" s="589"/>
      <c r="F836" s="590"/>
      <c r="G836" s="591"/>
      <c r="H836" s="592"/>
      <c r="I836" s="631">
        <v>22.61</v>
      </c>
      <c r="J836" s="631">
        <f t="shared" si="322"/>
        <v>22.61</v>
      </c>
      <c r="K836" s="593">
        <f t="shared" si="318"/>
        <v>28.66</v>
      </c>
      <c r="L836" s="382" t="s">
        <v>21</v>
      </c>
      <c r="M836" s="30"/>
      <c r="N836" s="30">
        <v>28.66</v>
      </c>
      <c r="O836" s="287">
        <f t="shared" si="319"/>
        <v>0</v>
      </c>
      <c r="P836" s="287">
        <f t="shared" si="320"/>
        <v>0</v>
      </c>
      <c r="Q836" s="288"/>
      <c r="R836" s="243"/>
      <c r="S836" s="378" t="str">
        <f t="shared" si="323"/>
        <v/>
      </c>
    </row>
    <row r="837" spans="2:19" hidden="1" x14ac:dyDescent="0.2">
      <c r="B837" s="595">
        <v>771</v>
      </c>
      <c r="C837" s="596" t="s">
        <v>472</v>
      </c>
      <c r="D837" s="597" t="s">
        <v>552</v>
      </c>
      <c r="E837" s="589"/>
      <c r="F837" s="590"/>
      <c r="G837" s="591"/>
      <c r="H837" s="592"/>
      <c r="I837" s="631">
        <v>81.2</v>
      </c>
      <c r="J837" s="631">
        <f t="shared" ref="J837:J840" si="324">IF(ISBLANK(I837),"",SUM(H837:I837))</f>
        <v>81.2</v>
      </c>
      <c r="K837" s="593">
        <f t="shared" si="318"/>
        <v>102.92</v>
      </c>
      <c r="L837" s="382" t="s">
        <v>21</v>
      </c>
      <c r="M837" s="30"/>
      <c r="N837" s="30">
        <v>102.92</v>
      </c>
      <c r="O837" s="287">
        <f t="shared" si="319"/>
        <v>0</v>
      </c>
      <c r="P837" s="287">
        <f t="shared" si="320"/>
        <v>0</v>
      </c>
      <c r="Q837" s="288"/>
      <c r="R837" s="243"/>
      <c r="S837" s="378" t="str">
        <f t="shared" si="323"/>
        <v/>
      </c>
    </row>
    <row r="838" spans="2:19" hidden="1" x14ac:dyDescent="0.2">
      <c r="B838" s="595" t="s">
        <v>548</v>
      </c>
      <c r="C838" s="596" t="s">
        <v>472</v>
      </c>
      <c r="D838" s="597" t="s">
        <v>553</v>
      </c>
      <c r="E838" s="589"/>
      <c r="F838" s="590"/>
      <c r="G838" s="591"/>
      <c r="H838" s="592"/>
      <c r="I838" s="631">
        <v>32.549999999999997</v>
      </c>
      <c r="J838" s="631">
        <f t="shared" si="324"/>
        <v>32.549999999999997</v>
      </c>
      <c r="K838" s="593">
        <f t="shared" si="318"/>
        <v>41.26</v>
      </c>
      <c r="L838" s="382" t="s">
        <v>21</v>
      </c>
      <c r="M838" s="30"/>
      <c r="N838" s="30">
        <v>41.26</v>
      </c>
      <c r="O838" s="287">
        <f t="shared" si="319"/>
        <v>0</v>
      </c>
      <c r="P838" s="287">
        <f t="shared" si="320"/>
        <v>0</v>
      </c>
      <c r="Q838" s="288"/>
      <c r="R838" s="243"/>
      <c r="S838" s="378" t="str">
        <f t="shared" si="323"/>
        <v/>
      </c>
    </row>
    <row r="839" spans="2:19" hidden="1" x14ac:dyDescent="0.2">
      <c r="B839" s="595">
        <v>772</v>
      </c>
      <c r="C839" s="596" t="s">
        <v>472</v>
      </c>
      <c r="D839" s="597" t="s">
        <v>554</v>
      </c>
      <c r="E839" s="589"/>
      <c r="F839" s="590"/>
      <c r="G839" s="591"/>
      <c r="H839" s="592"/>
      <c r="I839" s="631">
        <v>26.72</v>
      </c>
      <c r="J839" s="631">
        <f t="shared" si="324"/>
        <v>26.72</v>
      </c>
      <c r="K839" s="593">
        <f t="shared" si="318"/>
        <v>33.869999999999997</v>
      </c>
      <c r="L839" s="382" t="s">
        <v>21</v>
      </c>
      <c r="M839" s="30"/>
      <c r="N839" s="30">
        <v>33.869999999999997</v>
      </c>
      <c r="O839" s="287">
        <f t="shared" si="319"/>
        <v>0</v>
      </c>
      <c r="P839" s="287">
        <f t="shared" si="320"/>
        <v>0</v>
      </c>
      <c r="Q839" s="288"/>
      <c r="R839" s="243"/>
      <c r="S839" s="378" t="str">
        <f t="shared" si="323"/>
        <v/>
      </c>
    </row>
    <row r="840" spans="2:19" hidden="1" x14ac:dyDescent="0.2">
      <c r="B840" s="595" t="s">
        <v>549</v>
      </c>
      <c r="C840" s="596" t="s">
        <v>472</v>
      </c>
      <c r="D840" s="597" t="s">
        <v>555</v>
      </c>
      <c r="E840" s="589"/>
      <c r="F840" s="590"/>
      <c r="G840" s="591"/>
      <c r="H840" s="592"/>
      <c r="I840" s="631">
        <v>10.62</v>
      </c>
      <c r="J840" s="631">
        <f t="shared" si="324"/>
        <v>10.62</v>
      </c>
      <c r="K840" s="593">
        <f t="shared" si="318"/>
        <v>13.46</v>
      </c>
      <c r="L840" s="382" t="s">
        <v>21</v>
      </c>
      <c r="M840" s="30"/>
      <c r="N840" s="30">
        <v>13.46</v>
      </c>
      <c r="O840" s="287">
        <f t="shared" si="319"/>
        <v>0</v>
      </c>
      <c r="P840" s="287">
        <f t="shared" si="320"/>
        <v>0</v>
      </c>
      <c r="Q840" s="288"/>
      <c r="R840" s="243"/>
      <c r="S840" s="378" t="str">
        <f t="shared" si="323"/>
        <v/>
      </c>
    </row>
    <row r="841" spans="2:19" hidden="1" x14ac:dyDescent="0.2">
      <c r="B841" s="595">
        <v>773</v>
      </c>
      <c r="C841" s="596" t="s">
        <v>472</v>
      </c>
      <c r="D841" s="597" t="s">
        <v>558</v>
      </c>
      <c r="E841" s="589"/>
      <c r="F841" s="590"/>
      <c r="G841" s="591"/>
      <c r="H841" s="592"/>
      <c r="I841" s="631">
        <v>88.39</v>
      </c>
      <c r="J841" s="631">
        <f t="shared" ref="J841:J868" si="325">IF(ISBLANK(I841),"",SUM(H841:I841))</f>
        <v>88.39</v>
      </c>
      <c r="K841" s="593">
        <f t="shared" si="318"/>
        <v>112.03</v>
      </c>
      <c r="L841" s="382" t="s">
        <v>21</v>
      </c>
      <c r="M841" s="30"/>
      <c r="N841" s="30">
        <v>112.03</v>
      </c>
      <c r="O841" s="287">
        <f t="shared" si="319"/>
        <v>0</v>
      </c>
      <c r="P841" s="287">
        <f t="shared" si="320"/>
        <v>0</v>
      </c>
      <c r="Q841" s="288"/>
      <c r="R841" s="243"/>
      <c r="S841" s="378" t="str">
        <f t="shared" si="323"/>
        <v/>
      </c>
    </row>
    <row r="842" spans="2:19" hidden="1" x14ac:dyDescent="0.2">
      <c r="B842" s="595">
        <v>774</v>
      </c>
      <c r="C842" s="596" t="s">
        <v>472</v>
      </c>
      <c r="D842" s="597" t="s">
        <v>561</v>
      </c>
      <c r="E842" s="589"/>
      <c r="F842" s="590"/>
      <c r="G842" s="591"/>
      <c r="H842" s="592"/>
      <c r="I842" s="631">
        <v>119.92</v>
      </c>
      <c r="J842" s="631">
        <f t="shared" si="325"/>
        <v>119.92</v>
      </c>
      <c r="K842" s="593">
        <f t="shared" si="318"/>
        <v>152</v>
      </c>
      <c r="L842" s="382" t="s">
        <v>21</v>
      </c>
      <c r="M842" s="30"/>
      <c r="N842" s="30">
        <v>152</v>
      </c>
      <c r="O842" s="287">
        <f t="shared" si="319"/>
        <v>0</v>
      </c>
      <c r="P842" s="287">
        <f t="shared" si="320"/>
        <v>0</v>
      </c>
      <c r="Q842" s="288"/>
      <c r="R842" s="243"/>
      <c r="S842" s="378" t="str">
        <f t="shared" si="323"/>
        <v/>
      </c>
    </row>
    <row r="843" spans="2:19" hidden="1" x14ac:dyDescent="0.2">
      <c r="B843" s="595" t="s">
        <v>560</v>
      </c>
      <c r="C843" s="596" t="s">
        <v>472</v>
      </c>
      <c r="D843" s="597" t="s">
        <v>562</v>
      </c>
      <c r="E843" s="589"/>
      <c r="F843" s="590"/>
      <c r="G843" s="591"/>
      <c r="H843" s="592"/>
      <c r="I843" s="631">
        <v>17.13</v>
      </c>
      <c r="J843" s="631">
        <f t="shared" si="325"/>
        <v>17.13</v>
      </c>
      <c r="K843" s="593">
        <f t="shared" si="318"/>
        <v>21.71</v>
      </c>
      <c r="L843" s="382" t="s">
        <v>21</v>
      </c>
      <c r="M843" s="30"/>
      <c r="N843" s="30">
        <v>21.71</v>
      </c>
      <c r="O843" s="287">
        <f t="shared" si="319"/>
        <v>0</v>
      </c>
      <c r="P843" s="287">
        <f t="shared" si="320"/>
        <v>0</v>
      </c>
      <c r="Q843" s="288"/>
      <c r="R843" s="243"/>
      <c r="S843" s="378" t="str">
        <f t="shared" si="323"/>
        <v/>
      </c>
    </row>
    <row r="844" spans="2:19" ht="25.5" hidden="1" x14ac:dyDescent="0.2">
      <c r="B844" s="595">
        <v>775</v>
      </c>
      <c r="C844" s="596" t="s">
        <v>472</v>
      </c>
      <c r="D844" s="597" t="s">
        <v>677</v>
      </c>
      <c r="E844" s="589"/>
      <c r="F844" s="590"/>
      <c r="G844" s="591"/>
      <c r="H844" s="592"/>
      <c r="I844" s="631">
        <v>14.05</v>
      </c>
      <c r="J844" s="631">
        <f t="shared" si="325"/>
        <v>14.05</v>
      </c>
      <c r="K844" s="593">
        <f t="shared" si="318"/>
        <v>17.809999999999999</v>
      </c>
      <c r="L844" s="382" t="s">
        <v>21</v>
      </c>
      <c r="M844" s="30"/>
      <c r="N844" s="30">
        <v>17.809999999999999</v>
      </c>
      <c r="O844" s="287">
        <f t="shared" si="319"/>
        <v>0</v>
      </c>
      <c r="P844" s="287">
        <f t="shared" si="320"/>
        <v>0</v>
      </c>
      <c r="Q844" s="288"/>
      <c r="R844" s="243"/>
      <c r="S844" s="378" t="str">
        <f t="shared" si="323"/>
        <v/>
      </c>
    </row>
    <row r="845" spans="2:19" hidden="1" x14ac:dyDescent="0.2">
      <c r="B845" s="595">
        <v>776</v>
      </c>
      <c r="C845" s="596" t="s">
        <v>472</v>
      </c>
      <c r="D845" s="597" t="s">
        <v>566</v>
      </c>
      <c r="E845" s="589"/>
      <c r="F845" s="590"/>
      <c r="G845" s="591"/>
      <c r="H845" s="592"/>
      <c r="I845" s="631">
        <v>17.47</v>
      </c>
      <c r="J845" s="631">
        <f t="shared" si="325"/>
        <v>17.47</v>
      </c>
      <c r="K845" s="593">
        <f t="shared" si="318"/>
        <v>22.14</v>
      </c>
      <c r="L845" s="382" t="s">
        <v>21</v>
      </c>
      <c r="M845" s="30"/>
      <c r="N845" s="30">
        <v>22.14</v>
      </c>
      <c r="O845" s="287">
        <f t="shared" si="319"/>
        <v>0</v>
      </c>
      <c r="P845" s="287">
        <f t="shared" si="320"/>
        <v>0</v>
      </c>
      <c r="Q845" s="288"/>
      <c r="R845" s="243"/>
      <c r="S845" s="378" t="str">
        <f t="shared" si="323"/>
        <v/>
      </c>
    </row>
    <row r="846" spans="2:19" hidden="1" x14ac:dyDescent="0.2">
      <c r="B846" s="595" t="s">
        <v>563</v>
      </c>
      <c r="C846" s="596" t="s">
        <v>472</v>
      </c>
      <c r="D846" s="597" t="s">
        <v>567</v>
      </c>
      <c r="E846" s="589"/>
      <c r="F846" s="590"/>
      <c r="G846" s="591"/>
      <c r="H846" s="592"/>
      <c r="I846" s="631">
        <v>6.85</v>
      </c>
      <c r="J846" s="631">
        <f t="shared" si="325"/>
        <v>6.85</v>
      </c>
      <c r="K846" s="593">
        <f t="shared" si="318"/>
        <v>8.68</v>
      </c>
      <c r="L846" s="382" t="s">
        <v>21</v>
      </c>
      <c r="M846" s="30"/>
      <c r="N846" s="30">
        <v>8.68</v>
      </c>
      <c r="O846" s="287">
        <f t="shared" si="319"/>
        <v>0</v>
      </c>
      <c r="P846" s="287">
        <f t="shared" si="320"/>
        <v>0</v>
      </c>
      <c r="Q846" s="288"/>
      <c r="R846" s="243"/>
      <c r="S846" s="378" t="str">
        <f t="shared" si="323"/>
        <v/>
      </c>
    </row>
    <row r="847" spans="2:19" hidden="1" x14ac:dyDescent="0.2">
      <c r="B847" s="595">
        <v>862</v>
      </c>
      <c r="C847" s="596" t="s">
        <v>472</v>
      </c>
      <c r="D847" s="639" t="s">
        <v>678</v>
      </c>
      <c r="E847" s="589"/>
      <c r="F847" s="590"/>
      <c r="G847" s="591"/>
      <c r="H847" s="592"/>
      <c r="I847" s="631">
        <v>425.19</v>
      </c>
      <c r="J847" s="631">
        <f t="shared" si="325"/>
        <v>425.19</v>
      </c>
      <c r="K847" s="593">
        <f t="shared" si="318"/>
        <v>538.92999999999995</v>
      </c>
      <c r="L847" s="382" t="s">
        <v>16</v>
      </c>
      <c r="M847" s="30"/>
      <c r="N847" s="30">
        <v>538.92999999999995</v>
      </c>
      <c r="O847" s="287">
        <f t="shared" si="319"/>
        <v>0</v>
      </c>
      <c r="P847" s="287">
        <f t="shared" si="320"/>
        <v>0</v>
      </c>
      <c r="Q847" s="288"/>
      <c r="R847" s="243"/>
      <c r="S847" s="378" t="str">
        <f t="shared" si="323"/>
        <v/>
      </c>
    </row>
    <row r="848" spans="2:19" hidden="1" x14ac:dyDescent="0.2">
      <c r="B848" s="595" t="s">
        <v>564</v>
      </c>
      <c r="C848" s="596" t="s">
        <v>472</v>
      </c>
      <c r="D848" s="597" t="s">
        <v>568</v>
      </c>
      <c r="E848" s="589"/>
      <c r="F848" s="590"/>
      <c r="G848" s="591"/>
      <c r="H848" s="592"/>
      <c r="I848" s="631">
        <v>297.73</v>
      </c>
      <c r="J848" s="631">
        <f t="shared" si="325"/>
        <v>297.73</v>
      </c>
      <c r="K848" s="593">
        <f t="shared" si="318"/>
        <v>377.37</v>
      </c>
      <c r="L848" s="382" t="s">
        <v>16</v>
      </c>
      <c r="M848" s="30"/>
      <c r="N848" s="30">
        <v>377.37</v>
      </c>
      <c r="O848" s="287">
        <f t="shared" si="319"/>
        <v>0</v>
      </c>
      <c r="P848" s="287">
        <f t="shared" si="320"/>
        <v>0</v>
      </c>
      <c r="Q848" s="288"/>
      <c r="R848" s="243"/>
      <c r="S848" s="378" t="str">
        <f t="shared" si="323"/>
        <v/>
      </c>
    </row>
    <row r="849" spans="2:19" hidden="1" x14ac:dyDescent="0.2">
      <c r="B849" s="595">
        <v>875</v>
      </c>
      <c r="C849" s="596" t="s">
        <v>472</v>
      </c>
      <c r="D849" s="639" t="s">
        <v>569</v>
      </c>
      <c r="E849" s="589"/>
      <c r="F849" s="590"/>
      <c r="G849" s="591"/>
      <c r="H849" s="592"/>
      <c r="I849" s="631">
        <v>7.19</v>
      </c>
      <c r="J849" s="631">
        <f t="shared" si="325"/>
        <v>7.19</v>
      </c>
      <c r="K849" s="593">
        <f t="shared" si="318"/>
        <v>9.11</v>
      </c>
      <c r="L849" s="382" t="s">
        <v>21</v>
      </c>
      <c r="M849" s="30"/>
      <c r="N849" s="30">
        <v>9.11</v>
      </c>
      <c r="O849" s="287">
        <f t="shared" si="319"/>
        <v>0</v>
      </c>
      <c r="P849" s="287">
        <f t="shared" si="320"/>
        <v>0</v>
      </c>
      <c r="Q849" s="288"/>
      <c r="R849" s="243"/>
      <c r="S849" s="378" t="str">
        <f t="shared" si="323"/>
        <v/>
      </c>
    </row>
    <row r="850" spans="2:19" hidden="1" x14ac:dyDescent="0.2">
      <c r="B850" s="595" t="s">
        <v>565</v>
      </c>
      <c r="C850" s="596" t="s">
        <v>472</v>
      </c>
      <c r="D850" s="639" t="s">
        <v>570</v>
      </c>
      <c r="E850" s="589"/>
      <c r="F850" s="590"/>
      <c r="G850" s="591"/>
      <c r="H850" s="592"/>
      <c r="I850" s="631">
        <v>2.74</v>
      </c>
      <c r="J850" s="631">
        <f t="shared" si="325"/>
        <v>2.74</v>
      </c>
      <c r="K850" s="593">
        <f t="shared" si="318"/>
        <v>3.47</v>
      </c>
      <c r="L850" s="382" t="s">
        <v>21</v>
      </c>
      <c r="M850" s="30"/>
      <c r="N850" s="30">
        <v>3.47</v>
      </c>
      <c r="O850" s="287">
        <f t="shared" si="319"/>
        <v>0</v>
      </c>
      <c r="P850" s="287">
        <f t="shared" si="320"/>
        <v>0</v>
      </c>
      <c r="Q850" s="288"/>
      <c r="R850" s="243"/>
      <c r="S850" s="378" t="str">
        <f t="shared" si="323"/>
        <v/>
      </c>
    </row>
    <row r="851" spans="2:19" hidden="1" x14ac:dyDescent="0.2">
      <c r="B851" s="595">
        <v>780</v>
      </c>
      <c r="C851" s="596" t="s">
        <v>472</v>
      </c>
      <c r="D851" s="597" t="s">
        <v>640</v>
      </c>
      <c r="E851" s="589"/>
      <c r="F851" s="590"/>
      <c r="G851" s="591"/>
      <c r="H851" s="592"/>
      <c r="I851" s="631">
        <v>528.30999999999995</v>
      </c>
      <c r="J851" s="631">
        <f t="shared" si="325"/>
        <v>528.30999999999995</v>
      </c>
      <c r="K851" s="593">
        <f t="shared" si="318"/>
        <v>669.63</v>
      </c>
      <c r="L851" s="382" t="s">
        <v>177</v>
      </c>
      <c r="M851" s="30"/>
      <c r="N851" s="30">
        <v>669.63</v>
      </c>
      <c r="O851" s="287">
        <f t="shared" si="319"/>
        <v>0</v>
      </c>
      <c r="P851" s="287">
        <f t="shared" si="320"/>
        <v>0</v>
      </c>
      <c r="Q851" s="288"/>
      <c r="R851" s="243"/>
      <c r="S851" s="378" t="str">
        <f t="shared" si="323"/>
        <v/>
      </c>
    </row>
    <row r="852" spans="2:19" hidden="1" x14ac:dyDescent="0.2">
      <c r="B852" s="595" t="s">
        <v>582</v>
      </c>
      <c r="C852" s="596" t="s">
        <v>472</v>
      </c>
      <c r="D852" s="597" t="s">
        <v>641</v>
      </c>
      <c r="E852" s="589"/>
      <c r="F852" s="590"/>
      <c r="G852" s="591"/>
      <c r="H852" s="592"/>
      <c r="I852" s="631">
        <v>211.39</v>
      </c>
      <c r="J852" s="631">
        <f t="shared" si="325"/>
        <v>211.39</v>
      </c>
      <c r="K852" s="593">
        <f t="shared" si="318"/>
        <v>267.94</v>
      </c>
      <c r="L852" s="382" t="s">
        <v>177</v>
      </c>
      <c r="M852" s="30"/>
      <c r="N852" s="30">
        <v>267.94</v>
      </c>
      <c r="O852" s="287">
        <f t="shared" si="319"/>
        <v>0</v>
      </c>
      <c r="P852" s="287">
        <f t="shared" si="320"/>
        <v>0</v>
      </c>
      <c r="Q852" s="288"/>
      <c r="R852" s="243"/>
      <c r="S852" s="378" t="str">
        <f t="shared" si="323"/>
        <v/>
      </c>
    </row>
    <row r="853" spans="2:19" ht="25.5" hidden="1" x14ac:dyDescent="0.2">
      <c r="B853" s="595">
        <v>781</v>
      </c>
      <c r="C853" s="596" t="s">
        <v>472</v>
      </c>
      <c r="D853" s="597" t="s">
        <v>591</v>
      </c>
      <c r="E853" s="589"/>
      <c r="F853" s="590"/>
      <c r="G853" s="591"/>
      <c r="H853" s="592"/>
      <c r="I853" s="631">
        <v>879.15</v>
      </c>
      <c r="J853" s="631">
        <f t="shared" si="325"/>
        <v>879.15</v>
      </c>
      <c r="K853" s="593">
        <f t="shared" ref="K853:K916" si="326">IF(ISBLANK(I853),0,ROUND(J853*(1+$F$10)*(1+$F$11*E853),2))</f>
        <v>1114.32</v>
      </c>
      <c r="L853" s="382" t="s">
        <v>177</v>
      </c>
      <c r="M853" s="30"/>
      <c r="N853" s="30">
        <v>1114.32</v>
      </c>
      <c r="O853" s="287">
        <f t="shared" ref="O853:O916" si="327">IF(ISBLANK(M853),0,ROUND(K853*M853,2))</f>
        <v>0</v>
      </c>
      <c r="P853" s="287">
        <f t="shared" ref="P853:P916" si="328">IF(ISBLANK(N853),0,ROUND(M853*N853,2))</f>
        <v>0</v>
      </c>
      <c r="Q853" s="288"/>
      <c r="R853" s="243"/>
      <c r="S853" s="378" t="str">
        <f t="shared" si="323"/>
        <v/>
      </c>
    </row>
    <row r="854" spans="2:19" hidden="1" x14ac:dyDescent="0.2">
      <c r="B854" s="595" t="s">
        <v>583</v>
      </c>
      <c r="C854" s="596" t="s">
        <v>472</v>
      </c>
      <c r="D854" s="597" t="s">
        <v>592</v>
      </c>
      <c r="E854" s="589"/>
      <c r="F854" s="590"/>
      <c r="G854" s="591"/>
      <c r="H854" s="592"/>
      <c r="I854" s="631">
        <v>351.52</v>
      </c>
      <c r="J854" s="631">
        <f t="shared" si="325"/>
        <v>351.52</v>
      </c>
      <c r="K854" s="593">
        <f t="shared" si="326"/>
        <v>445.55</v>
      </c>
      <c r="L854" s="382" t="s">
        <v>177</v>
      </c>
      <c r="M854" s="30"/>
      <c r="N854" s="30">
        <v>445.55</v>
      </c>
      <c r="O854" s="287">
        <f t="shared" si="327"/>
        <v>0</v>
      </c>
      <c r="P854" s="287">
        <f t="shared" si="328"/>
        <v>0</v>
      </c>
      <c r="Q854" s="288"/>
      <c r="R854" s="243"/>
      <c r="S854" s="378" t="str">
        <f t="shared" si="323"/>
        <v/>
      </c>
    </row>
    <row r="855" spans="2:19" ht="25.5" hidden="1" x14ac:dyDescent="0.2">
      <c r="B855" s="595">
        <v>782</v>
      </c>
      <c r="C855" s="596" t="s">
        <v>472</v>
      </c>
      <c r="D855" s="597" t="s">
        <v>593</v>
      </c>
      <c r="E855" s="589"/>
      <c r="F855" s="590"/>
      <c r="G855" s="591"/>
      <c r="H855" s="592"/>
      <c r="I855" s="631">
        <v>1465.37</v>
      </c>
      <c r="J855" s="631">
        <f t="shared" si="325"/>
        <v>1465.37</v>
      </c>
      <c r="K855" s="593">
        <f t="shared" si="326"/>
        <v>1857.36</v>
      </c>
      <c r="L855" s="382" t="s">
        <v>177</v>
      </c>
      <c r="M855" s="30"/>
      <c r="N855" s="30">
        <v>1857.36</v>
      </c>
      <c r="O855" s="287">
        <f t="shared" si="327"/>
        <v>0</v>
      </c>
      <c r="P855" s="287">
        <f t="shared" si="328"/>
        <v>0</v>
      </c>
      <c r="Q855" s="288"/>
      <c r="R855" s="243"/>
      <c r="S855" s="378" t="str">
        <f t="shared" si="323"/>
        <v/>
      </c>
    </row>
    <row r="856" spans="2:19" ht="25.5" hidden="1" x14ac:dyDescent="0.2">
      <c r="B856" s="595" t="s">
        <v>584</v>
      </c>
      <c r="C856" s="596" t="s">
        <v>472</v>
      </c>
      <c r="D856" s="597" t="s">
        <v>594</v>
      </c>
      <c r="E856" s="589"/>
      <c r="F856" s="590"/>
      <c r="G856" s="591"/>
      <c r="H856" s="592"/>
      <c r="I856" s="631">
        <v>586.21</v>
      </c>
      <c r="J856" s="631">
        <f t="shared" si="325"/>
        <v>586.21</v>
      </c>
      <c r="K856" s="593">
        <f t="shared" si="326"/>
        <v>743.02</v>
      </c>
      <c r="L856" s="382" t="s">
        <v>177</v>
      </c>
      <c r="M856" s="30"/>
      <c r="N856" s="30">
        <v>743.02</v>
      </c>
      <c r="O856" s="287">
        <f t="shared" si="327"/>
        <v>0</v>
      </c>
      <c r="P856" s="287">
        <f t="shared" si="328"/>
        <v>0</v>
      </c>
      <c r="Q856" s="288"/>
      <c r="R856" s="243"/>
      <c r="S856" s="378" t="str">
        <f t="shared" si="323"/>
        <v/>
      </c>
    </row>
    <row r="857" spans="2:19" hidden="1" x14ac:dyDescent="0.2">
      <c r="B857" s="595">
        <v>783</v>
      </c>
      <c r="C857" s="596" t="s">
        <v>472</v>
      </c>
      <c r="D857" s="597" t="s">
        <v>595</v>
      </c>
      <c r="E857" s="589"/>
      <c r="F857" s="590"/>
      <c r="G857" s="591"/>
      <c r="H857" s="592"/>
      <c r="I857" s="631">
        <v>1721.98</v>
      </c>
      <c r="J857" s="631">
        <f t="shared" si="325"/>
        <v>1721.98</v>
      </c>
      <c r="K857" s="593">
        <f t="shared" si="326"/>
        <v>2182.61</v>
      </c>
      <c r="L857" s="382" t="s">
        <v>177</v>
      </c>
      <c r="M857" s="30"/>
      <c r="N857" s="30">
        <v>2182.61</v>
      </c>
      <c r="O857" s="287">
        <f t="shared" si="327"/>
        <v>0</v>
      </c>
      <c r="P857" s="287">
        <f t="shared" si="328"/>
        <v>0</v>
      </c>
      <c r="Q857" s="288"/>
      <c r="R857" s="243"/>
      <c r="S857" s="378" t="str">
        <f t="shared" si="323"/>
        <v/>
      </c>
    </row>
    <row r="858" spans="2:19" hidden="1" x14ac:dyDescent="0.2">
      <c r="B858" s="595" t="s">
        <v>585</v>
      </c>
      <c r="C858" s="596" t="s">
        <v>472</v>
      </c>
      <c r="D858" s="597" t="s">
        <v>596</v>
      </c>
      <c r="E858" s="589"/>
      <c r="F858" s="590"/>
      <c r="G858" s="591"/>
      <c r="H858" s="592"/>
      <c r="I858" s="631">
        <v>688.66</v>
      </c>
      <c r="J858" s="631">
        <f t="shared" si="325"/>
        <v>688.66</v>
      </c>
      <c r="K858" s="593">
        <f t="shared" si="326"/>
        <v>872.88</v>
      </c>
      <c r="L858" s="382" t="s">
        <v>177</v>
      </c>
      <c r="M858" s="30"/>
      <c r="N858" s="30">
        <v>872.88</v>
      </c>
      <c r="O858" s="287">
        <f t="shared" si="327"/>
        <v>0</v>
      </c>
      <c r="P858" s="287">
        <f t="shared" si="328"/>
        <v>0</v>
      </c>
      <c r="Q858" s="288"/>
      <c r="R858" s="243"/>
      <c r="S858" s="378" t="str">
        <f t="shared" si="323"/>
        <v/>
      </c>
    </row>
    <row r="859" spans="2:19" hidden="1" x14ac:dyDescent="0.2">
      <c r="B859" s="595">
        <v>784</v>
      </c>
      <c r="C859" s="596" t="s">
        <v>472</v>
      </c>
      <c r="D859" s="597" t="s">
        <v>597</v>
      </c>
      <c r="E859" s="589"/>
      <c r="F859" s="590"/>
      <c r="G859" s="591"/>
      <c r="H859" s="592"/>
      <c r="I859" s="631">
        <v>642.75</v>
      </c>
      <c r="J859" s="631">
        <f t="shared" si="325"/>
        <v>642.75</v>
      </c>
      <c r="K859" s="593">
        <f t="shared" si="326"/>
        <v>814.69</v>
      </c>
      <c r="L859" s="382" t="s">
        <v>177</v>
      </c>
      <c r="M859" s="30"/>
      <c r="N859" s="30">
        <v>814.69</v>
      </c>
      <c r="O859" s="287">
        <f t="shared" si="327"/>
        <v>0</v>
      </c>
      <c r="P859" s="287">
        <f t="shared" si="328"/>
        <v>0</v>
      </c>
      <c r="Q859" s="288"/>
      <c r="R859" s="243"/>
      <c r="S859" s="378" t="str">
        <f t="shared" si="323"/>
        <v/>
      </c>
    </row>
    <row r="860" spans="2:19" hidden="1" x14ac:dyDescent="0.2">
      <c r="B860" s="595" t="s">
        <v>586</v>
      </c>
      <c r="C860" s="596" t="s">
        <v>472</v>
      </c>
      <c r="D860" s="597" t="s">
        <v>617</v>
      </c>
      <c r="E860" s="589"/>
      <c r="F860" s="590"/>
      <c r="G860" s="591"/>
      <c r="H860" s="592"/>
      <c r="I860" s="631">
        <v>256.95999999999998</v>
      </c>
      <c r="J860" s="631">
        <f t="shared" si="325"/>
        <v>256.95999999999998</v>
      </c>
      <c r="K860" s="593">
        <f t="shared" si="326"/>
        <v>325.7</v>
      </c>
      <c r="L860" s="382" t="s">
        <v>177</v>
      </c>
      <c r="M860" s="30"/>
      <c r="N860" s="30">
        <v>325.7</v>
      </c>
      <c r="O860" s="287">
        <f t="shared" si="327"/>
        <v>0</v>
      </c>
      <c r="P860" s="287">
        <f t="shared" si="328"/>
        <v>0</v>
      </c>
      <c r="Q860" s="288"/>
      <c r="R860" s="243"/>
      <c r="S860" s="378" t="str">
        <f t="shared" si="323"/>
        <v/>
      </c>
    </row>
    <row r="861" spans="2:19" hidden="1" x14ac:dyDescent="0.2">
      <c r="B861" s="595">
        <v>785</v>
      </c>
      <c r="C861" s="596" t="s">
        <v>472</v>
      </c>
      <c r="D861" s="597" t="s">
        <v>598</v>
      </c>
      <c r="E861" s="589"/>
      <c r="F861" s="590"/>
      <c r="G861" s="591"/>
      <c r="H861" s="592"/>
      <c r="I861" s="631">
        <v>1706.57</v>
      </c>
      <c r="J861" s="631">
        <f t="shared" si="325"/>
        <v>1706.57</v>
      </c>
      <c r="K861" s="593">
        <f t="shared" si="326"/>
        <v>2163.08</v>
      </c>
      <c r="L861" s="382" t="s">
        <v>177</v>
      </c>
      <c r="M861" s="30"/>
      <c r="N861" s="30">
        <v>2163.08</v>
      </c>
      <c r="O861" s="287">
        <f t="shared" si="327"/>
        <v>0</v>
      </c>
      <c r="P861" s="287">
        <f t="shared" si="328"/>
        <v>0</v>
      </c>
      <c r="Q861" s="288"/>
      <c r="R861" s="243"/>
      <c r="S861" s="378" t="str">
        <f t="shared" si="323"/>
        <v/>
      </c>
    </row>
    <row r="862" spans="2:19" hidden="1" x14ac:dyDescent="0.2">
      <c r="B862" s="595" t="s">
        <v>587</v>
      </c>
      <c r="C862" s="596" t="s">
        <v>472</v>
      </c>
      <c r="D862" s="597" t="s">
        <v>599</v>
      </c>
      <c r="E862" s="589"/>
      <c r="F862" s="590"/>
      <c r="G862" s="591"/>
      <c r="H862" s="592"/>
      <c r="I862" s="631">
        <v>659.19</v>
      </c>
      <c r="J862" s="631">
        <f t="shared" si="325"/>
        <v>659.19</v>
      </c>
      <c r="K862" s="593">
        <f t="shared" si="326"/>
        <v>835.52</v>
      </c>
      <c r="L862" s="382" t="s">
        <v>177</v>
      </c>
      <c r="M862" s="30"/>
      <c r="N862" s="30">
        <v>835.52</v>
      </c>
      <c r="O862" s="287">
        <f t="shared" si="327"/>
        <v>0</v>
      </c>
      <c r="P862" s="287">
        <f t="shared" si="328"/>
        <v>0</v>
      </c>
      <c r="Q862" s="288"/>
      <c r="R862" s="243"/>
      <c r="S862" s="378" t="str">
        <f t="shared" si="323"/>
        <v/>
      </c>
    </row>
    <row r="863" spans="2:19" hidden="1" x14ac:dyDescent="0.2">
      <c r="B863" s="595">
        <v>786</v>
      </c>
      <c r="C863" s="596" t="s">
        <v>472</v>
      </c>
      <c r="D863" s="597" t="s">
        <v>600</v>
      </c>
      <c r="E863" s="589"/>
      <c r="F863" s="590"/>
      <c r="G863" s="591"/>
      <c r="H863" s="592"/>
      <c r="I863" s="631">
        <v>535.51</v>
      </c>
      <c r="J863" s="631">
        <f t="shared" si="325"/>
        <v>535.51</v>
      </c>
      <c r="K863" s="593">
        <f t="shared" si="326"/>
        <v>678.76</v>
      </c>
      <c r="L863" s="382" t="s">
        <v>177</v>
      </c>
      <c r="M863" s="30"/>
      <c r="N863" s="30">
        <v>678.76</v>
      </c>
      <c r="O863" s="287">
        <f t="shared" si="327"/>
        <v>0</v>
      </c>
      <c r="P863" s="287">
        <f t="shared" si="328"/>
        <v>0</v>
      </c>
      <c r="Q863" s="288"/>
      <c r="R863" s="243"/>
      <c r="S863" s="378" t="str">
        <f t="shared" si="323"/>
        <v/>
      </c>
    </row>
    <row r="864" spans="2:19" hidden="1" x14ac:dyDescent="0.2">
      <c r="B864" s="595" t="s">
        <v>588</v>
      </c>
      <c r="C864" s="596" t="s">
        <v>472</v>
      </c>
      <c r="D864" s="597" t="s">
        <v>601</v>
      </c>
      <c r="E864" s="589"/>
      <c r="F864" s="590"/>
      <c r="G864" s="591"/>
      <c r="H864" s="592"/>
      <c r="I864" s="631">
        <v>214.13</v>
      </c>
      <c r="J864" s="631">
        <f t="shared" si="325"/>
        <v>214.13</v>
      </c>
      <c r="K864" s="593">
        <f t="shared" si="326"/>
        <v>271.41000000000003</v>
      </c>
      <c r="L864" s="382" t="s">
        <v>177</v>
      </c>
      <c r="M864" s="30"/>
      <c r="N864" s="30">
        <v>271.41000000000003</v>
      </c>
      <c r="O864" s="287">
        <f t="shared" si="327"/>
        <v>0</v>
      </c>
      <c r="P864" s="287">
        <f t="shared" si="328"/>
        <v>0</v>
      </c>
      <c r="Q864" s="288"/>
      <c r="R864" s="243"/>
      <c r="S864" s="378" t="str">
        <f t="shared" si="323"/>
        <v/>
      </c>
    </row>
    <row r="865" spans="2:19" hidden="1" x14ac:dyDescent="0.2">
      <c r="B865" s="595">
        <v>787</v>
      </c>
      <c r="C865" s="596" t="s">
        <v>472</v>
      </c>
      <c r="D865" s="597" t="s">
        <v>602</v>
      </c>
      <c r="E865" s="589"/>
      <c r="F865" s="590"/>
      <c r="G865" s="591"/>
      <c r="H865" s="592"/>
      <c r="I865" s="631">
        <v>484.12</v>
      </c>
      <c r="J865" s="631">
        <f t="shared" si="325"/>
        <v>484.12</v>
      </c>
      <c r="K865" s="593">
        <f t="shared" si="326"/>
        <v>613.62</v>
      </c>
      <c r="L865" s="382" t="s">
        <v>177</v>
      </c>
      <c r="M865" s="30"/>
      <c r="N865" s="30">
        <v>613.62</v>
      </c>
      <c r="O865" s="287">
        <f t="shared" si="327"/>
        <v>0</v>
      </c>
      <c r="P865" s="287">
        <f t="shared" si="328"/>
        <v>0</v>
      </c>
      <c r="Q865" s="288"/>
      <c r="R865" s="243"/>
      <c r="S865" s="378" t="str">
        <f t="shared" si="323"/>
        <v/>
      </c>
    </row>
    <row r="866" spans="2:19" hidden="1" x14ac:dyDescent="0.2">
      <c r="B866" s="595" t="s">
        <v>589</v>
      </c>
      <c r="C866" s="596" t="s">
        <v>472</v>
      </c>
      <c r="D866" s="597" t="s">
        <v>603</v>
      </c>
      <c r="E866" s="589"/>
      <c r="F866" s="590"/>
      <c r="G866" s="591"/>
      <c r="H866" s="592"/>
      <c r="I866" s="631">
        <v>193.58</v>
      </c>
      <c r="J866" s="631">
        <f t="shared" si="325"/>
        <v>193.58</v>
      </c>
      <c r="K866" s="593">
        <f t="shared" si="326"/>
        <v>245.36</v>
      </c>
      <c r="L866" s="382" t="s">
        <v>177</v>
      </c>
      <c r="M866" s="30"/>
      <c r="N866" s="30">
        <v>245.36</v>
      </c>
      <c r="O866" s="287">
        <f t="shared" si="327"/>
        <v>0</v>
      </c>
      <c r="P866" s="287">
        <f t="shared" si="328"/>
        <v>0</v>
      </c>
      <c r="Q866" s="288"/>
      <c r="R866" s="243"/>
      <c r="S866" s="378" t="str">
        <f t="shared" si="323"/>
        <v/>
      </c>
    </row>
    <row r="867" spans="2:19" hidden="1" x14ac:dyDescent="0.2">
      <c r="B867" s="595">
        <v>790</v>
      </c>
      <c r="C867" s="596" t="s">
        <v>472</v>
      </c>
      <c r="D867" s="597" t="s">
        <v>604</v>
      </c>
      <c r="E867" s="589"/>
      <c r="F867" s="590"/>
      <c r="G867" s="591"/>
      <c r="H867" s="592"/>
      <c r="I867" s="631">
        <v>12.68</v>
      </c>
      <c r="J867" s="631">
        <f t="shared" si="325"/>
        <v>12.68</v>
      </c>
      <c r="K867" s="593">
        <f t="shared" si="326"/>
        <v>16.07</v>
      </c>
      <c r="L867" s="382" t="s">
        <v>19</v>
      </c>
      <c r="M867" s="30"/>
      <c r="N867" s="30">
        <v>16.07</v>
      </c>
      <c r="O867" s="287">
        <f t="shared" si="327"/>
        <v>0</v>
      </c>
      <c r="P867" s="287">
        <f t="shared" si="328"/>
        <v>0</v>
      </c>
      <c r="Q867" s="288"/>
      <c r="R867" s="243"/>
      <c r="S867" s="378" t="str">
        <f t="shared" si="323"/>
        <v/>
      </c>
    </row>
    <row r="868" spans="2:19" hidden="1" x14ac:dyDescent="0.2">
      <c r="B868" s="595" t="s">
        <v>590</v>
      </c>
      <c r="C868" s="596" t="s">
        <v>472</v>
      </c>
      <c r="D868" s="597" t="s">
        <v>605</v>
      </c>
      <c r="E868" s="589"/>
      <c r="F868" s="590"/>
      <c r="G868" s="591"/>
      <c r="H868" s="592"/>
      <c r="I868" s="631">
        <v>5.14</v>
      </c>
      <c r="J868" s="631">
        <f t="shared" si="325"/>
        <v>5.14</v>
      </c>
      <c r="K868" s="593">
        <f t="shared" si="326"/>
        <v>6.51</v>
      </c>
      <c r="L868" s="382" t="s">
        <v>19</v>
      </c>
      <c r="M868" s="30"/>
      <c r="N868" s="30">
        <v>6.51</v>
      </c>
      <c r="O868" s="287">
        <f t="shared" si="327"/>
        <v>0</v>
      </c>
      <c r="P868" s="287">
        <f t="shared" si="328"/>
        <v>0</v>
      </c>
      <c r="Q868" s="288"/>
      <c r="R868" s="243"/>
      <c r="S868" s="378" t="str">
        <f t="shared" si="323"/>
        <v/>
      </c>
    </row>
    <row r="869" spans="2:19" hidden="1" x14ac:dyDescent="0.2">
      <c r="B869" s="595">
        <v>800</v>
      </c>
      <c r="C869" s="596" t="s">
        <v>472</v>
      </c>
      <c r="D869" s="597" t="s">
        <v>606</v>
      </c>
      <c r="E869" s="589"/>
      <c r="F869" s="590"/>
      <c r="G869" s="591"/>
      <c r="H869" s="592"/>
      <c r="I869" s="631">
        <v>15.08</v>
      </c>
      <c r="J869" s="631">
        <f t="shared" ref="J869" si="329">IF(ISBLANK(I869),"",SUM(H869:I869))</f>
        <v>15.08</v>
      </c>
      <c r="K869" s="593">
        <f t="shared" si="326"/>
        <v>19.11</v>
      </c>
      <c r="L869" s="382" t="s">
        <v>21</v>
      </c>
      <c r="M869" s="30"/>
      <c r="N869" s="30">
        <v>19.11</v>
      </c>
      <c r="O869" s="287">
        <f t="shared" si="327"/>
        <v>0</v>
      </c>
      <c r="P869" s="287">
        <f t="shared" si="328"/>
        <v>0</v>
      </c>
      <c r="Q869" s="288"/>
      <c r="R869" s="243"/>
      <c r="S869" s="378" t="str">
        <f t="shared" si="323"/>
        <v/>
      </c>
    </row>
    <row r="870" spans="2:19" hidden="1" x14ac:dyDescent="0.2">
      <c r="B870" s="595">
        <v>860</v>
      </c>
      <c r="C870" s="596" t="s">
        <v>472</v>
      </c>
      <c r="D870" s="597" t="s">
        <v>611</v>
      </c>
      <c r="E870" s="589"/>
      <c r="F870" s="590"/>
      <c r="G870" s="591"/>
      <c r="H870" s="592"/>
      <c r="I870" s="631">
        <v>560.17999999999995</v>
      </c>
      <c r="J870" s="631">
        <f t="shared" ref="J870:J890" si="330">IF(ISBLANK(I870),"",SUM(H870:I870))</f>
        <v>560.17999999999995</v>
      </c>
      <c r="K870" s="593">
        <f t="shared" si="326"/>
        <v>710.03</v>
      </c>
      <c r="L870" s="382" t="s">
        <v>177</v>
      </c>
      <c r="M870" s="30"/>
      <c r="N870" s="30">
        <v>710.03</v>
      </c>
      <c r="O870" s="287">
        <f t="shared" si="327"/>
        <v>0</v>
      </c>
      <c r="P870" s="287">
        <f t="shared" si="328"/>
        <v>0</v>
      </c>
      <c r="Q870" s="288"/>
      <c r="R870" s="243"/>
      <c r="S870" s="378" t="str">
        <f t="shared" si="323"/>
        <v/>
      </c>
    </row>
    <row r="871" spans="2:19" hidden="1" x14ac:dyDescent="0.2">
      <c r="B871" s="595" t="s">
        <v>608</v>
      </c>
      <c r="C871" s="596" t="s">
        <v>472</v>
      </c>
      <c r="D871" s="597" t="s">
        <v>612</v>
      </c>
      <c r="E871" s="589"/>
      <c r="F871" s="590"/>
      <c r="G871" s="591"/>
      <c r="H871" s="592"/>
      <c r="I871" s="631">
        <v>224.07</v>
      </c>
      <c r="J871" s="631">
        <f t="shared" si="330"/>
        <v>224.07</v>
      </c>
      <c r="K871" s="593">
        <f t="shared" si="326"/>
        <v>284.01</v>
      </c>
      <c r="L871" s="382" t="s">
        <v>177</v>
      </c>
      <c r="M871" s="30"/>
      <c r="N871" s="30">
        <v>284.01</v>
      </c>
      <c r="O871" s="287">
        <f t="shared" si="327"/>
        <v>0</v>
      </c>
      <c r="P871" s="287">
        <f t="shared" si="328"/>
        <v>0</v>
      </c>
      <c r="Q871" s="288"/>
      <c r="R871" s="243"/>
      <c r="S871" s="378" t="str">
        <f t="shared" si="323"/>
        <v/>
      </c>
    </row>
    <row r="872" spans="2:19" hidden="1" x14ac:dyDescent="0.2">
      <c r="B872" s="595">
        <v>864</v>
      </c>
      <c r="C872" s="596" t="s">
        <v>472</v>
      </c>
      <c r="D872" s="597" t="s">
        <v>614</v>
      </c>
      <c r="E872" s="589"/>
      <c r="F872" s="590"/>
      <c r="G872" s="591"/>
      <c r="H872" s="592"/>
      <c r="I872" s="631">
        <v>6.85</v>
      </c>
      <c r="J872" s="631">
        <f t="shared" si="330"/>
        <v>6.85</v>
      </c>
      <c r="K872" s="593">
        <f t="shared" si="326"/>
        <v>8.68</v>
      </c>
      <c r="L872" s="382" t="s">
        <v>19</v>
      </c>
      <c r="M872" s="30"/>
      <c r="N872" s="30">
        <v>8.68</v>
      </c>
      <c r="O872" s="287">
        <f t="shared" si="327"/>
        <v>0</v>
      </c>
      <c r="P872" s="287">
        <f t="shared" si="328"/>
        <v>0</v>
      </c>
      <c r="Q872" s="288"/>
      <c r="R872" s="243"/>
      <c r="S872" s="378" t="str">
        <f t="shared" si="323"/>
        <v/>
      </c>
    </row>
    <row r="873" spans="2:19" hidden="1" x14ac:dyDescent="0.2">
      <c r="B873" s="595" t="s">
        <v>609</v>
      </c>
      <c r="C873" s="596" t="s">
        <v>472</v>
      </c>
      <c r="D873" s="597" t="s">
        <v>615</v>
      </c>
      <c r="E873" s="589"/>
      <c r="F873" s="590"/>
      <c r="G873" s="591"/>
      <c r="H873" s="592"/>
      <c r="I873" s="631">
        <v>5.14</v>
      </c>
      <c r="J873" s="631">
        <f t="shared" si="330"/>
        <v>5.14</v>
      </c>
      <c r="K873" s="593">
        <f t="shared" si="326"/>
        <v>6.51</v>
      </c>
      <c r="L873" s="382" t="s">
        <v>19</v>
      </c>
      <c r="M873" s="30"/>
      <c r="N873" s="30">
        <v>6.51</v>
      </c>
      <c r="O873" s="287">
        <f t="shared" si="327"/>
        <v>0</v>
      </c>
      <c r="P873" s="287">
        <f t="shared" si="328"/>
        <v>0</v>
      </c>
      <c r="Q873" s="288"/>
      <c r="R873" s="243"/>
      <c r="S873" s="378" t="str">
        <f t="shared" si="323"/>
        <v/>
      </c>
    </row>
    <row r="874" spans="2:19" hidden="1" x14ac:dyDescent="0.2">
      <c r="B874" s="595">
        <v>866</v>
      </c>
      <c r="C874" s="596" t="s">
        <v>472</v>
      </c>
      <c r="D874" s="597" t="s">
        <v>613</v>
      </c>
      <c r="E874" s="589"/>
      <c r="F874" s="590"/>
      <c r="G874" s="591"/>
      <c r="H874" s="592"/>
      <c r="I874" s="631">
        <v>33.92</v>
      </c>
      <c r="J874" s="631">
        <f t="shared" si="330"/>
        <v>33.92</v>
      </c>
      <c r="K874" s="593">
        <f t="shared" si="326"/>
        <v>42.99</v>
      </c>
      <c r="L874" s="382" t="s">
        <v>21</v>
      </c>
      <c r="M874" s="30"/>
      <c r="N874" s="30">
        <v>42.99</v>
      </c>
      <c r="O874" s="287">
        <f t="shared" si="327"/>
        <v>0</v>
      </c>
      <c r="P874" s="287">
        <f t="shared" si="328"/>
        <v>0</v>
      </c>
      <c r="Q874" s="288"/>
      <c r="R874" s="243"/>
      <c r="S874" s="378" t="str">
        <f t="shared" si="323"/>
        <v/>
      </c>
    </row>
    <row r="875" spans="2:19" hidden="1" x14ac:dyDescent="0.2">
      <c r="B875" s="595" t="s">
        <v>610</v>
      </c>
      <c r="C875" s="596" t="s">
        <v>472</v>
      </c>
      <c r="D875" s="597" t="s">
        <v>616</v>
      </c>
      <c r="E875" s="589"/>
      <c r="F875" s="590"/>
      <c r="G875" s="591"/>
      <c r="H875" s="592"/>
      <c r="I875" s="631">
        <v>13.7</v>
      </c>
      <c r="J875" s="631">
        <f t="shared" si="330"/>
        <v>13.7</v>
      </c>
      <c r="K875" s="593">
        <f t="shared" si="326"/>
        <v>17.36</v>
      </c>
      <c r="L875" s="382" t="s">
        <v>21</v>
      </c>
      <c r="M875" s="30"/>
      <c r="N875" s="30">
        <v>17.36</v>
      </c>
      <c r="O875" s="287">
        <f t="shared" si="327"/>
        <v>0</v>
      </c>
      <c r="P875" s="287">
        <f t="shared" si="328"/>
        <v>0</v>
      </c>
      <c r="Q875" s="288"/>
      <c r="R875" s="243"/>
      <c r="S875" s="378" t="str">
        <f t="shared" si="323"/>
        <v/>
      </c>
    </row>
    <row r="876" spans="2:19" hidden="1" x14ac:dyDescent="0.2">
      <c r="B876" s="595">
        <v>792</v>
      </c>
      <c r="C876" s="596" t="s">
        <v>472</v>
      </c>
      <c r="D876" s="597" t="s">
        <v>639</v>
      </c>
      <c r="E876" s="589"/>
      <c r="F876" s="590"/>
      <c r="G876" s="591"/>
      <c r="H876" s="592"/>
      <c r="I876" s="631">
        <v>395.04</v>
      </c>
      <c r="J876" s="631">
        <f t="shared" si="330"/>
        <v>395.04</v>
      </c>
      <c r="K876" s="593">
        <f t="shared" si="326"/>
        <v>500.71</v>
      </c>
      <c r="L876" s="382" t="s">
        <v>177</v>
      </c>
      <c r="M876" s="30"/>
      <c r="N876" s="30">
        <v>500.71</v>
      </c>
      <c r="O876" s="287">
        <f t="shared" si="327"/>
        <v>0</v>
      </c>
      <c r="P876" s="287">
        <f t="shared" si="328"/>
        <v>0</v>
      </c>
      <c r="Q876" s="288"/>
      <c r="R876" s="243"/>
      <c r="S876" s="378" t="str">
        <f t="shared" si="323"/>
        <v/>
      </c>
    </row>
    <row r="877" spans="2:19" hidden="1" x14ac:dyDescent="0.2">
      <c r="B877" s="595" t="s">
        <v>636</v>
      </c>
      <c r="C877" s="596" t="s">
        <v>472</v>
      </c>
      <c r="D877" s="597" t="s">
        <v>716</v>
      </c>
      <c r="E877" s="589"/>
      <c r="F877" s="590"/>
      <c r="G877" s="591"/>
      <c r="H877" s="592"/>
      <c r="I877" s="631">
        <v>157.94999999999999</v>
      </c>
      <c r="J877" s="631">
        <f t="shared" si="330"/>
        <v>157.94999999999999</v>
      </c>
      <c r="K877" s="593">
        <f t="shared" si="326"/>
        <v>200.2</v>
      </c>
      <c r="L877" s="382" t="s">
        <v>177</v>
      </c>
      <c r="M877" s="30"/>
      <c r="N877" s="30">
        <v>200.2</v>
      </c>
      <c r="O877" s="287">
        <f t="shared" si="327"/>
        <v>0</v>
      </c>
      <c r="P877" s="287">
        <f t="shared" si="328"/>
        <v>0</v>
      </c>
      <c r="Q877" s="288"/>
      <c r="R877" s="243"/>
      <c r="S877" s="378" t="str">
        <f t="shared" si="323"/>
        <v/>
      </c>
    </row>
    <row r="878" spans="2:19" hidden="1" x14ac:dyDescent="0.2">
      <c r="B878" s="595">
        <v>793</v>
      </c>
      <c r="C878" s="596" t="s">
        <v>472</v>
      </c>
      <c r="D878" s="597" t="s">
        <v>642</v>
      </c>
      <c r="E878" s="589"/>
      <c r="F878" s="590"/>
      <c r="G878" s="591"/>
      <c r="H878" s="592"/>
      <c r="I878" s="631">
        <v>504.33</v>
      </c>
      <c r="J878" s="631">
        <f t="shared" si="330"/>
        <v>504.33</v>
      </c>
      <c r="K878" s="593">
        <f t="shared" si="326"/>
        <v>639.24</v>
      </c>
      <c r="L878" s="382" t="s">
        <v>177</v>
      </c>
      <c r="M878" s="30"/>
      <c r="N878" s="30">
        <v>639.24</v>
      </c>
      <c r="O878" s="287">
        <f t="shared" si="327"/>
        <v>0</v>
      </c>
      <c r="P878" s="287">
        <f t="shared" si="328"/>
        <v>0</v>
      </c>
      <c r="Q878" s="288"/>
      <c r="R878" s="243"/>
      <c r="S878" s="378" t="str">
        <f t="shared" si="323"/>
        <v/>
      </c>
    </row>
    <row r="879" spans="2:19" hidden="1" x14ac:dyDescent="0.2">
      <c r="B879" s="595" t="s">
        <v>682</v>
      </c>
      <c r="C879" s="596" t="s">
        <v>472</v>
      </c>
      <c r="D879" s="597" t="s">
        <v>715</v>
      </c>
      <c r="E879" s="589"/>
      <c r="F879" s="590"/>
      <c r="G879" s="591"/>
      <c r="H879" s="592"/>
      <c r="I879" s="631">
        <v>202.14</v>
      </c>
      <c r="J879" s="631">
        <f t="shared" si="330"/>
        <v>202.14</v>
      </c>
      <c r="K879" s="593">
        <f t="shared" si="326"/>
        <v>256.20999999999998</v>
      </c>
      <c r="L879" s="382" t="s">
        <v>177</v>
      </c>
      <c r="M879" s="30"/>
      <c r="N879" s="30">
        <v>256.20999999999998</v>
      </c>
      <c r="O879" s="287">
        <f t="shared" si="327"/>
        <v>0</v>
      </c>
      <c r="P879" s="287">
        <f t="shared" si="328"/>
        <v>0</v>
      </c>
      <c r="Q879" s="288"/>
      <c r="R879" s="243"/>
      <c r="S879" s="378" t="str">
        <f t="shared" si="323"/>
        <v/>
      </c>
    </row>
    <row r="880" spans="2:19" hidden="1" x14ac:dyDescent="0.2">
      <c r="B880" s="595">
        <v>794</v>
      </c>
      <c r="C880" s="596" t="s">
        <v>472</v>
      </c>
      <c r="D880" s="597" t="s">
        <v>643</v>
      </c>
      <c r="E880" s="589"/>
      <c r="F880" s="590"/>
      <c r="G880" s="591"/>
      <c r="H880" s="592"/>
      <c r="I880" s="631">
        <v>516.32000000000005</v>
      </c>
      <c r="J880" s="631">
        <f t="shared" si="330"/>
        <v>516.32000000000005</v>
      </c>
      <c r="K880" s="593">
        <f t="shared" si="326"/>
        <v>654.44000000000005</v>
      </c>
      <c r="L880" s="382" t="s">
        <v>177</v>
      </c>
      <c r="M880" s="30"/>
      <c r="N880" s="30">
        <v>654.44000000000005</v>
      </c>
      <c r="O880" s="287">
        <f t="shared" si="327"/>
        <v>0</v>
      </c>
      <c r="P880" s="287">
        <f t="shared" si="328"/>
        <v>0</v>
      </c>
      <c r="Q880" s="288"/>
      <c r="R880" s="243"/>
      <c r="S880" s="378" t="str">
        <f t="shared" si="323"/>
        <v/>
      </c>
    </row>
    <row r="881" spans="2:19" hidden="1" x14ac:dyDescent="0.2">
      <c r="B881" s="595" t="s">
        <v>634</v>
      </c>
      <c r="C881" s="596" t="s">
        <v>472</v>
      </c>
      <c r="D881" s="597" t="s">
        <v>644</v>
      </c>
      <c r="E881" s="589"/>
      <c r="F881" s="590"/>
      <c r="G881" s="591"/>
      <c r="H881" s="592"/>
      <c r="I881" s="631">
        <v>206.6</v>
      </c>
      <c r="J881" s="631">
        <f t="shared" si="330"/>
        <v>206.6</v>
      </c>
      <c r="K881" s="593">
        <f t="shared" si="326"/>
        <v>261.87</v>
      </c>
      <c r="L881" s="382" t="s">
        <v>177</v>
      </c>
      <c r="M881" s="30"/>
      <c r="N881" s="30">
        <v>261.87</v>
      </c>
      <c r="O881" s="287">
        <f t="shared" si="327"/>
        <v>0</v>
      </c>
      <c r="P881" s="287">
        <f t="shared" si="328"/>
        <v>0</v>
      </c>
      <c r="Q881" s="288"/>
      <c r="R881" s="243"/>
      <c r="S881" s="378" t="str">
        <f t="shared" si="323"/>
        <v/>
      </c>
    </row>
    <row r="882" spans="2:19" hidden="1" x14ac:dyDescent="0.2">
      <c r="B882" s="595">
        <v>795</v>
      </c>
      <c r="C882" s="596" t="s">
        <v>472</v>
      </c>
      <c r="D882" s="597" t="s">
        <v>645</v>
      </c>
      <c r="E882" s="589"/>
      <c r="F882" s="590"/>
      <c r="G882" s="591"/>
      <c r="H882" s="592"/>
      <c r="I882" s="631">
        <v>1527.72</v>
      </c>
      <c r="J882" s="631">
        <f t="shared" si="330"/>
        <v>1527.72</v>
      </c>
      <c r="K882" s="593">
        <f t="shared" si="326"/>
        <v>1936.39</v>
      </c>
      <c r="L882" s="382" t="s">
        <v>177</v>
      </c>
      <c r="M882" s="30"/>
      <c r="N882" s="30">
        <v>1936.39</v>
      </c>
      <c r="O882" s="287">
        <f t="shared" si="327"/>
        <v>0</v>
      </c>
      <c r="P882" s="287">
        <f t="shared" si="328"/>
        <v>0</v>
      </c>
      <c r="Q882" s="288"/>
      <c r="R882" s="243"/>
      <c r="S882" s="378" t="str">
        <f t="shared" si="323"/>
        <v/>
      </c>
    </row>
    <row r="883" spans="2:19" hidden="1" x14ac:dyDescent="0.2">
      <c r="B883" s="595" t="s">
        <v>635</v>
      </c>
      <c r="C883" s="596" t="s">
        <v>472</v>
      </c>
      <c r="D883" s="597" t="s">
        <v>646</v>
      </c>
      <c r="E883" s="589"/>
      <c r="F883" s="590"/>
      <c r="G883" s="591"/>
      <c r="H883" s="592"/>
      <c r="I883" s="631">
        <v>611.23</v>
      </c>
      <c r="J883" s="631">
        <f t="shared" si="330"/>
        <v>611.23</v>
      </c>
      <c r="K883" s="593">
        <f t="shared" si="326"/>
        <v>774.73</v>
      </c>
      <c r="L883" s="382" t="s">
        <v>177</v>
      </c>
      <c r="M883" s="30"/>
      <c r="N883" s="30">
        <v>774.73</v>
      </c>
      <c r="O883" s="287">
        <f t="shared" si="327"/>
        <v>0</v>
      </c>
      <c r="P883" s="287">
        <f t="shared" si="328"/>
        <v>0</v>
      </c>
      <c r="Q883" s="288"/>
      <c r="R883" s="243"/>
      <c r="S883" s="378" t="str">
        <f t="shared" si="323"/>
        <v/>
      </c>
    </row>
    <row r="884" spans="2:19" hidden="1" x14ac:dyDescent="0.2">
      <c r="B884" s="595">
        <v>796</v>
      </c>
      <c r="C884" s="596" t="s">
        <v>472</v>
      </c>
      <c r="D884" s="597" t="s">
        <v>647</v>
      </c>
      <c r="E884" s="589"/>
      <c r="F884" s="590"/>
      <c r="G884" s="591"/>
      <c r="H884" s="592"/>
      <c r="I884" s="631">
        <v>8.57</v>
      </c>
      <c r="J884" s="631">
        <f t="shared" si="330"/>
        <v>8.57</v>
      </c>
      <c r="K884" s="593">
        <f t="shared" si="326"/>
        <v>10.86</v>
      </c>
      <c r="L884" s="382" t="s">
        <v>19</v>
      </c>
      <c r="M884" s="30"/>
      <c r="N884" s="30">
        <v>10.86</v>
      </c>
      <c r="O884" s="287">
        <f t="shared" si="327"/>
        <v>0</v>
      </c>
      <c r="P884" s="287">
        <f t="shared" si="328"/>
        <v>0</v>
      </c>
      <c r="Q884" s="288"/>
      <c r="R884" s="243"/>
      <c r="S884" s="378" t="str">
        <f t="shared" si="323"/>
        <v/>
      </c>
    </row>
    <row r="885" spans="2:19" hidden="1" x14ac:dyDescent="0.2">
      <c r="B885" s="595" t="s">
        <v>637</v>
      </c>
      <c r="C885" s="596" t="s">
        <v>472</v>
      </c>
      <c r="D885" s="597" t="s">
        <v>648</v>
      </c>
      <c r="E885" s="589"/>
      <c r="F885" s="590"/>
      <c r="G885" s="591"/>
      <c r="H885" s="592"/>
      <c r="I885" s="631">
        <v>3.43</v>
      </c>
      <c r="J885" s="631">
        <f t="shared" si="330"/>
        <v>3.43</v>
      </c>
      <c r="K885" s="593">
        <f t="shared" si="326"/>
        <v>4.3499999999999996</v>
      </c>
      <c r="L885" s="382" t="s">
        <v>19</v>
      </c>
      <c r="M885" s="30"/>
      <c r="N885" s="30">
        <v>4.3499999999999996</v>
      </c>
      <c r="O885" s="287">
        <f t="shared" si="327"/>
        <v>0</v>
      </c>
      <c r="P885" s="287">
        <f t="shared" si="328"/>
        <v>0</v>
      </c>
      <c r="Q885" s="288"/>
      <c r="R885" s="243"/>
      <c r="S885" s="378" t="str">
        <f t="shared" si="323"/>
        <v/>
      </c>
    </row>
    <row r="886" spans="2:19" hidden="1" x14ac:dyDescent="0.2">
      <c r="B886" s="595">
        <v>867</v>
      </c>
      <c r="C886" s="596" t="s">
        <v>472</v>
      </c>
      <c r="D886" s="597" t="s">
        <v>650</v>
      </c>
      <c r="E886" s="589"/>
      <c r="F886" s="590"/>
      <c r="G886" s="591"/>
      <c r="H886" s="592"/>
      <c r="I886" s="631">
        <v>11.99</v>
      </c>
      <c r="J886" s="631">
        <f t="shared" si="330"/>
        <v>11.99</v>
      </c>
      <c r="K886" s="593">
        <f t="shared" si="326"/>
        <v>15.2</v>
      </c>
      <c r="L886" s="382" t="s">
        <v>21</v>
      </c>
      <c r="M886" s="30"/>
      <c r="N886" s="30">
        <v>15.2</v>
      </c>
      <c r="O886" s="287">
        <f t="shared" si="327"/>
        <v>0</v>
      </c>
      <c r="P886" s="287">
        <f t="shared" si="328"/>
        <v>0</v>
      </c>
      <c r="Q886" s="288"/>
      <c r="R886" s="243"/>
      <c r="S886" s="378" t="str">
        <f t="shared" si="323"/>
        <v/>
      </c>
    </row>
    <row r="887" spans="2:19" hidden="1" x14ac:dyDescent="0.2">
      <c r="B887" s="595" t="s">
        <v>638</v>
      </c>
      <c r="C887" s="596" t="s">
        <v>472</v>
      </c>
      <c r="D887" s="597" t="s">
        <v>649</v>
      </c>
      <c r="E887" s="589"/>
      <c r="F887" s="590"/>
      <c r="G887" s="591"/>
      <c r="H887" s="592"/>
      <c r="I887" s="631">
        <v>4.8</v>
      </c>
      <c r="J887" s="631">
        <f t="shared" si="330"/>
        <v>4.8</v>
      </c>
      <c r="K887" s="593">
        <f t="shared" si="326"/>
        <v>6.08</v>
      </c>
      <c r="L887" s="382" t="s">
        <v>21</v>
      </c>
      <c r="M887" s="30"/>
      <c r="N887" s="30">
        <v>6.08</v>
      </c>
      <c r="O887" s="287">
        <f t="shared" si="327"/>
        <v>0</v>
      </c>
      <c r="P887" s="287">
        <f t="shared" si="328"/>
        <v>0</v>
      </c>
      <c r="Q887" s="288"/>
      <c r="R887" s="243"/>
      <c r="S887" s="378" t="str">
        <f t="shared" si="323"/>
        <v/>
      </c>
    </row>
    <row r="888" spans="2:19" hidden="1" x14ac:dyDescent="0.2">
      <c r="B888" s="595">
        <v>801</v>
      </c>
      <c r="C888" s="596" t="s">
        <v>472</v>
      </c>
      <c r="D888" s="597" t="s">
        <v>679</v>
      </c>
      <c r="E888" s="589"/>
      <c r="F888" s="590"/>
      <c r="G888" s="591"/>
      <c r="H888" s="592"/>
      <c r="I888" s="631">
        <v>12.68</v>
      </c>
      <c r="J888" s="631">
        <f t="shared" si="330"/>
        <v>12.68</v>
      </c>
      <c r="K888" s="593">
        <f t="shared" si="326"/>
        <v>16.07</v>
      </c>
      <c r="L888" s="382" t="s">
        <v>21</v>
      </c>
      <c r="M888" s="30"/>
      <c r="N888" s="30">
        <v>16.07</v>
      </c>
      <c r="O888" s="287">
        <f t="shared" si="327"/>
        <v>0</v>
      </c>
      <c r="P888" s="287">
        <f t="shared" si="328"/>
        <v>0</v>
      </c>
      <c r="Q888" s="288"/>
      <c r="R888" s="243"/>
      <c r="S888" s="378" t="str">
        <f t="shared" si="323"/>
        <v/>
      </c>
    </row>
    <row r="889" spans="2:19" hidden="1" x14ac:dyDescent="0.2">
      <c r="B889" s="595">
        <v>813</v>
      </c>
      <c r="C889" s="596" t="s">
        <v>472</v>
      </c>
      <c r="D889" s="597" t="s">
        <v>653</v>
      </c>
      <c r="E889" s="589"/>
      <c r="F889" s="590"/>
      <c r="G889" s="591"/>
      <c r="H889" s="592"/>
      <c r="I889" s="631">
        <v>26.72</v>
      </c>
      <c r="J889" s="631">
        <f t="shared" si="330"/>
        <v>26.72</v>
      </c>
      <c r="K889" s="593">
        <f t="shared" si="326"/>
        <v>33.869999999999997</v>
      </c>
      <c r="L889" s="382" t="s">
        <v>21</v>
      </c>
      <c r="M889" s="30"/>
      <c r="N889" s="30">
        <v>33.869999999999997</v>
      </c>
      <c r="O889" s="287">
        <f t="shared" si="327"/>
        <v>0</v>
      </c>
      <c r="P889" s="287">
        <f t="shared" si="328"/>
        <v>0</v>
      </c>
      <c r="Q889" s="288"/>
      <c r="R889" s="243"/>
      <c r="S889" s="378" t="str">
        <f t="shared" si="323"/>
        <v/>
      </c>
    </row>
    <row r="890" spans="2:19" hidden="1" x14ac:dyDescent="0.2">
      <c r="B890" s="595" t="s">
        <v>651</v>
      </c>
      <c r="C890" s="596" t="s">
        <v>472</v>
      </c>
      <c r="D890" s="597" t="s">
        <v>654</v>
      </c>
      <c r="E890" s="589"/>
      <c r="F890" s="590"/>
      <c r="G890" s="591"/>
      <c r="H890" s="592"/>
      <c r="I890" s="631">
        <v>10.62</v>
      </c>
      <c r="J890" s="631">
        <f t="shared" si="330"/>
        <v>10.62</v>
      </c>
      <c r="K890" s="593">
        <f t="shared" si="326"/>
        <v>13.46</v>
      </c>
      <c r="L890" s="382" t="s">
        <v>21</v>
      </c>
      <c r="M890" s="30"/>
      <c r="N890" s="30">
        <v>13.46</v>
      </c>
      <c r="O890" s="287">
        <f t="shared" si="327"/>
        <v>0</v>
      </c>
      <c r="P890" s="287">
        <f t="shared" si="328"/>
        <v>0</v>
      </c>
      <c r="Q890" s="288"/>
      <c r="R890" s="243"/>
      <c r="S890" s="378" t="str">
        <f t="shared" si="323"/>
        <v/>
      </c>
    </row>
    <row r="891" spans="2:19" hidden="1" x14ac:dyDescent="0.2">
      <c r="B891" s="595">
        <v>811</v>
      </c>
      <c r="C891" s="596" t="s">
        <v>472</v>
      </c>
      <c r="D891" s="597" t="s">
        <v>656</v>
      </c>
      <c r="E891" s="589"/>
      <c r="F891" s="590"/>
      <c r="G891" s="591"/>
      <c r="H891" s="592"/>
      <c r="I891" s="631">
        <v>13.02</v>
      </c>
      <c r="J891" s="631">
        <f t="shared" ref="J891:J914" si="331">IF(ISBLANK(I891),"",SUM(H891:I891))</f>
        <v>13.02</v>
      </c>
      <c r="K891" s="593">
        <f t="shared" si="326"/>
        <v>16.5</v>
      </c>
      <c r="L891" s="382" t="s">
        <v>21</v>
      </c>
      <c r="M891" s="30"/>
      <c r="N891" s="30">
        <v>16.5</v>
      </c>
      <c r="O891" s="287">
        <f t="shared" si="327"/>
        <v>0</v>
      </c>
      <c r="P891" s="287">
        <f t="shared" si="328"/>
        <v>0</v>
      </c>
      <c r="Q891" s="288"/>
      <c r="R891" s="243"/>
      <c r="S891" s="378" t="str">
        <f t="shared" si="323"/>
        <v/>
      </c>
    </row>
    <row r="892" spans="2:19" hidden="1" x14ac:dyDescent="0.2">
      <c r="B892" s="595">
        <v>814</v>
      </c>
      <c r="C892" s="596" t="s">
        <v>472</v>
      </c>
      <c r="D892" s="597" t="s">
        <v>655</v>
      </c>
      <c r="E892" s="589"/>
      <c r="F892" s="590"/>
      <c r="G892" s="591"/>
      <c r="H892" s="592"/>
      <c r="I892" s="631">
        <v>34.6</v>
      </c>
      <c r="J892" s="631">
        <f t="shared" si="331"/>
        <v>34.6</v>
      </c>
      <c r="K892" s="593">
        <f t="shared" si="326"/>
        <v>43.86</v>
      </c>
      <c r="L892" s="382" t="s">
        <v>21</v>
      </c>
      <c r="M892" s="30"/>
      <c r="N892" s="30">
        <v>43.86</v>
      </c>
      <c r="O892" s="287">
        <f t="shared" si="327"/>
        <v>0</v>
      </c>
      <c r="P892" s="287">
        <f t="shared" si="328"/>
        <v>0</v>
      </c>
      <c r="Q892" s="288"/>
      <c r="R892" s="243"/>
      <c r="S892" s="378" t="str">
        <f t="shared" si="323"/>
        <v/>
      </c>
    </row>
    <row r="893" spans="2:19" hidden="1" x14ac:dyDescent="0.2">
      <c r="B893" s="595">
        <v>815</v>
      </c>
      <c r="C893" s="596" t="s">
        <v>472</v>
      </c>
      <c r="D893" s="597" t="s">
        <v>657</v>
      </c>
      <c r="E893" s="589"/>
      <c r="F893" s="590"/>
      <c r="G893" s="591"/>
      <c r="H893" s="592"/>
      <c r="I893" s="631">
        <v>60.64</v>
      </c>
      <c r="J893" s="631">
        <f t="shared" si="331"/>
        <v>60.64</v>
      </c>
      <c r="K893" s="593">
        <f t="shared" si="326"/>
        <v>76.86</v>
      </c>
      <c r="L893" s="382" t="s">
        <v>21</v>
      </c>
      <c r="M893" s="30"/>
      <c r="N893" s="30">
        <v>76.86</v>
      </c>
      <c r="O893" s="287">
        <f t="shared" si="327"/>
        <v>0</v>
      </c>
      <c r="P893" s="287">
        <f t="shared" si="328"/>
        <v>0</v>
      </c>
      <c r="Q893" s="288"/>
      <c r="R893" s="243"/>
      <c r="S893" s="378" t="str">
        <f t="shared" si="323"/>
        <v/>
      </c>
    </row>
    <row r="894" spans="2:19" hidden="1" x14ac:dyDescent="0.2">
      <c r="B894" s="595">
        <v>816</v>
      </c>
      <c r="C894" s="596" t="s">
        <v>472</v>
      </c>
      <c r="D894" s="597" t="s">
        <v>658</v>
      </c>
      <c r="E894" s="589"/>
      <c r="F894" s="590"/>
      <c r="G894" s="591"/>
      <c r="H894" s="592"/>
      <c r="I894" s="631">
        <v>28.78</v>
      </c>
      <c r="J894" s="631">
        <f t="shared" si="331"/>
        <v>28.78</v>
      </c>
      <c r="K894" s="593">
        <f t="shared" si="326"/>
        <v>36.479999999999997</v>
      </c>
      <c r="L894" s="382" t="s">
        <v>21</v>
      </c>
      <c r="M894" s="30"/>
      <c r="N894" s="30">
        <v>36.479999999999997</v>
      </c>
      <c r="O894" s="287">
        <f t="shared" si="327"/>
        <v>0</v>
      </c>
      <c r="P894" s="287">
        <f t="shared" si="328"/>
        <v>0</v>
      </c>
      <c r="Q894" s="288"/>
      <c r="R894" s="243"/>
      <c r="S894" s="378" t="str">
        <f t="shared" si="323"/>
        <v/>
      </c>
    </row>
    <row r="895" spans="2:19" hidden="1" x14ac:dyDescent="0.2">
      <c r="B895" s="595">
        <v>817</v>
      </c>
      <c r="C895" s="596" t="s">
        <v>472</v>
      </c>
      <c r="D895" s="597" t="s">
        <v>659</v>
      </c>
      <c r="E895" s="589"/>
      <c r="F895" s="590"/>
      <c r="G895" s="591"/>
      <c r="H895" s="592"/>
      <c r="I895" s="631">
        <v>41.46</v>
      </c>
      <c r="J895" s="631">
        <f t="shared" si="331"/>
        <v>41.46</v>
      </c>
      <c r="K895" s="593">
        <f t="shared" si="326"/>
        <v>52.55</v>
      </c>
      <c r="L895" s="382" t="s">
        <v>21</v>
      </c>
      <c r="M895" s="30"/>
      <c r="N895" s="30">
        <v>52.55</v>
      </c>
      <c r="O895" s="287">
        <f t="shared" si="327"/>
        <v>0</v>
      </c>
      <c r="P895" s="287">
        <f t="shared" si="328"/>
        <v>0</v>
      </c>
      <c r="Q895" s="288"/>
      <c r="R895" s="243"/>
      <c r="S895" s="378" t="str">
        <f t="shared" ref="S895:S958" si="332">IF(R895="x","x",IF(R895="y","x",IF(R895="xy","x",IF(P895&gt;0,"x",""))))</f>
        <v/>
      </c>
    </row>
    <row r="896" spans="2:19" hidden="1" x14ac:dyDescent="0.2">
      <c r="B896" s="595">
        <v>818</v>
      </c>
      <c r="C896" s="596" t="s">
        <v>472</v>
      </c>
      <c r="D896" s="597" t="s">
        <v>660</v>
      </c>
      <c r="E896" s="589"/>
      <c r="F896" s="590"/>
      <c r="G896" s="591"/>
      <c r="H896" s="592"/>
      <c r="I896" s="631">
        <v>15.42</v>
      </c>
      <c r="J896" s="631">
        <f t="shared" si="331"/>
        <v>15.42</v>
      </c>
      <c r="K896" s="593">
        <f t="shared" si="326"/>
        <v>19.54</v>
      </c>
      <c r="L896" s="382" t="s">
        <v>21</v>
      </c>
      <c r="M896" s="30"/>
      <c r="N896" s="30">
        <v>19.54</v>
      </c>
      <c r="O896" s="287">
        <f t="shared" si="327"/>
        <v>0</v>
      </c>
      <c r="P896" s="287">
        <f t="shared" si="328"/>
        <v>0</v>
      </c>
      <c r="Q896" s="288"/>
      <c r="R896" s="243"/>
      <c r="S896" s="378" t="str">
        <f t="shared" si="332"/>
        <v/>
      </c>
    </row>
    <row r="897" spans="2:19" hidden="1" x14ac:dyDescent="0.2">
      <c r="B897" s="595">
        <v>819</v>
      </c>
      <c r="C897" s="596" t="s">
        <v>472</v>
      </c>
      <c r="D897" s="597" t="s">
        <v>661</v>
      </c>
      <c r="E897" s="589"/>
      <c r="F897" s="590"/>
      <c r="G897" s="591"/>
      <c r="H897" s="592"/>
      <c r="I897" s="631">
        <v>23.3</v>
      </c>
      <c r="J897" s="631">
        <f t="shared" si="331"/>
        <v>23.3</v>
      </c>
      <c r="K897" s="593">
        <f t="shared" si="326"/>
        <v>29.53</v>
      </c>
      <c r="L897" s="382" t="s">
        <v>19</v>
      </c>
      <c r="M897" s="30"/>
      <c r="N897" s="30">
        <v>29.53</v>
      </c>
      <c r="O897" s="287">
        <f t="shared" si="327"/>
        <v>0</v>
      </c>
      <c r="P897" s="287">
        <f t="shared" si="328"/>
        <v>0</v>
      </c>
      <c r="Q897" s="288"/>
      <c r="R897" s="243"/>
      <c r="S897" s="378" t="str">
        <f t="shared" si="332"/>
        <v/>
      </c>
    </row>
    <row r="898" spans="2:19" hidden="1" x14ac:dyDescent="0.2">
      <c r="B898" s="595">
        <v>820</v>
      </c>
      <c r="C898" s="596" t="s">
        <v>472</v>
      </c>
      <c r="D898" s="597" t="s">
        <v>662</v>
      </c>
      <c r="E898" s="589"/>
      <c r="F898" s="590"/>
      <c r="G898" s="591"/>
      <c r="H898" s="592"/>
      <c r="I898" s="631">
        <v>14.08</v>
      </c>
      <c r="J898" s="631">
        <f t="shared" si="331"/>
        <v>14.08</v>
      </c>
      <c r="K898" s="593">
        <f t="shared" si="326"/>
        <v>17.850000000000001</v>
      </c>
      <c r="L898" s="382" t="s">
        <v>21</v>
      </c>
      <c r="M898" s="30"/>
      <c r="N898" s="30">
        <v>17.850000000000001</v>
      </c>
      <c r="O898" s="287">
        <f t="shared" si="327"/>
        <v>0</v>
      </c>
      <c r="P898" s="287">
        <f t="shared" si="328"/>
        <v>0</v>
      </c>
      <c r="Q898" s="288"/>
      <c r="R898" s="243"/>
      <c r="S898" s="378" t="str">
        <f t="shared" si="332"/>
        <v/>
      </c>
    </row>
    <row r="899" spans="2:19" hidden="1" x14ac:dyDescent="0.2">
      <c r="B899" s="595">
        <v>821</v>
      </c>
      <c r="C899" s="596" t="s">
        <v>472</v>
      </c>
      <c r="D899" s="597" t="s">
        <v>663</v>
      </c>
      <c r="E899" s="589"/>
      <c r="F899" s="590"/>
      <c r="G899" s="591"/>
      <c r="H899" s="592"/>
      <c r="I899" s="631">
        <v>22.96</v>
      </c>
      <c r="J899" s="631">
        <f t="shared" si="331"/>
        <v>22.96</v>
      </c>
      <c r="K899" s="593">
        <f t="shared" si="326"/>
        <v>29.1</v>
      </c>
      <c r="L899" s="382" t="s">
        <v>21</v>
      </c>
      <c r="M899" s="30"/>
      <c r="N899" s="30">
        <v>29.1</v>
      </c>
      <c r="O899" s="287">
        <f t="shared" si="327"/>
        <v>0</v>
      </c>
      <c r="P899" s="287">
        <f t="shared" si="328"/>
        <v>0</v>
      </c>
      <c r="Q899" s="288"/>
      <c r="R899" s="243"/>
      <c r="S899" s="378" t="str">
        <f t="shared" si="332"/>
        <v/>
      </c>
    </row>
    <row r="900" spans="2:19" hidden="1" x14ac:dyDescent="0.2">
      <c r="B900" s="595">
        <v>871</v>
      </c>
      <c r="C900" s="596" t="s">
        <v>472</v>
      </c>
      <c r="D900" s="597" t="s">
        <v>664</v>
      </c>
      <c r="E900" s="589"/>
      <c r="F900" s="590"/>
      <c r="G900" s="591"/>
      <c r="H900" s="592"/>
      <c r="I900" s="631">
        <v>11.31</v>
      </c>
      <c r="J900" s="631">
        <f t="shared" si="331"/>
        <v>11.31</v>
      </c>
      <c r="K900" s="593">
        <f t="shared" si="326"/>
        <v>14.34</v>
      </c>
      <c r="L900" s="382" t="s">
        <v>21</v>
      </c>
      <c r="M900" s="30"/>
      <c r="N900" s="30">
        <v>14.34</v>
      </c>
      <c r="O900" s="287">
        <f t="shared" si="327"/>
        <v>0</v>
      </c>
      <c r="P900" s="287">
        <f t="shared" si="328"/>
        <v>0</v>
      </c>
      <c r="Q900" s="288"/>
      <c r="R900" s="243"/>
      <c r="S900" s="378" t="str">
        <f t="shared" si="332"/>
        <v/>
      </c>
    </row>
    <row r="901" spans="2:19" hidden="1" x14ac:dyDescent="0.2">
      <c r="B901" s="595" t="s">
        <v>652</v>
      </c>
      <c r="C901" s="596" t="s">
        <v>472</v>
      </c>
      <c r="D901" s="597" t="s">
        <v>665</v>
      </c>
      <c r="E901" s="589"/>
      <c r="F901" s="590"/>
      <c r="G901" s="591"/>
      <c r="H901" s="592"/>
      <c r="I901" s="631">
        <v>4.45</v>
      </c>
      <c r="J901" s="631">
        <f t="shared" si="331"/>
        <v>4.45</v>
      </c>
      <c r="K901" s="593">
        <f t="shared" si="326"/>
        <v>5.64</v>
      </c>
      <c r="L901" s="382" t="s">
        <v>21</v>
      </c>
      <c r="M901" s="30"/>
      <c r="N901" s="30">
        <v>5.64</v>
      </c>
      <c r="O901" s="287">
        <f t="shared" si="327"/>
        <v>0</v>
      </c>
      <c r="P901" s="287">
        <f t="shared" si="328"/>
        <v>0</v>
      </c>
      <c r="Q901" s="288"/>
      <c r="R901" s="243"/>
      <c r="S901" s="378" t="str">
        <f t="shared" si="332"/>
        <v/>
      </c>
    </row>
    <row r="902" spans="2:19" hidden="1" x14ac:dyDescent="0.2">
      <c r="B902" s="595">
        <v>834</v>
      </c>
      <c r="C902" s="596" t="s">
        <v>472</v>
      </c>
      <c r="D902" s="597" t="s">
        <v>683</v>
      </c>
      <c r="E902" s="589"/>
      <c r="F902" s="590"/>
      <c r="G902" s="591"/>
      <c r="H902" s="592"/>
      <c r="I902" s="631">
        <v>11.99</v>
      </c>
      <c r="J902" s="631">
        <f t="shared" si="331"/>
        <v>11.99</v>
      </c>
      <c r="K902" s="593">
        <f t="shared" si="326"/>
        <v>15.2</v>
      </c>
      <c r="L902" s="382" t="s">
        <v>21</v>
      </c>
      <c r="M902" s="30"/>
      <c r="N902" s="30">
        <v>15.2</v>
      </c>
      <c r="O902" s="287">
        <f t="shared" si="327"/>
        <v>0</v>
      </c>
      <c r="P902" s="287">
        <f t="shared" si="328"/>
        <v>0</v>
      </c>
      <c r="Q902" s="288"/>
      <c r="R902" s="243"/>
      <c r="S902" s="378" t="str">
        <f t="shared" si="332"/>
        <v/>
      </c>
    </row>
    <row r="903" spans="2:19" hidden="1" x14ac:dyDescent="0.2">
      <c r="B903" s="595" t="s">
        <v>680</v>
      </c>
      <c r="C903" s="596" t="s">
        <v>472</v>
      </c>
      <c r="D903" s="597" t="s">
        <v>714</v>
      </c>
      <c r="E903" s="589"/>
      <c r="F903" s="590"/>
      <c r="G903" s="591"/>
      <c r="H903" s="592"/>
      <c r="I903" s="631">
        <v>4.8</v>
      </c>
      <c r="J903" s="631">
        <f t="shared" si="331"/>
        <v>4.8</v>
      </c>
      <c r="K903" s="593">
        <f t="shared" si="326"/>
        <v>6.08</v>
      </c>
      <c r="L903" s="382" t="s">
        <v>21</v>
      </c>
      <c r="M903" s="30"/>
      <c r="N903" s="30">
        <v>6.08</v>
      </c>
      <c r="O903" s="287">
        <f t="shared" si="327"/>
        <v>0</v>
      </c>
      <c r="P903" s="287">
        <f t="shared" si="328"/>
        <v>0</v>
      </c>
      <c r="Q903" s="288"/>
      <c r="R903" s="243"/>
      <c r="S903" s="378" t="str">
        <f t="shared" si="332"/>
        <v/>
      </c>
    </row>
    <row r="904" spans="2:19" ht="25.5" hidden="1" x14ac:dyDescent="0.2">
      <c r="B904" s="595">
        <v>835</v>
      </c>
      <c r="C904" s="596" t="s">
        <v>472</v>
      </c>
      <c r="D904" s="597" t="s">
        <v>684</v>
      </c>
      <c r="E904" s="589"/>
      <c r="F904" s="590"/>
      <c r="G904" s="591"/>
      <c r="H904" s="592"/>
      <c r="I904" s="631">
        <v>43.85</v>
      </c>
      <c r="J904" s="631">
        <f t="shared" si="331"/>
        <v>43.85</v>
      </c>
      <c r="K904" s="593">
        <f t="shared" si="326"/>
        <v>55.58</v>
      </c>
      <c r="L904" s="382" t="s">
        <v>21</v>
      </c>
      <c r="M904" s="30"/>
      <c r="N904" s="30">
        <v>55.58</v>
      </c>
      <c r="O904" s="287">
        <f t="shared" si="327"/>
        <v>0</v>
      </c>
      <c r="P904" s="287">
        <f t="shared" si="328"/>
        <v>0</v>
      </c>
      <c r="Q904" s="288"/>
      <c r="R904" s="243"/>
      <c r="S904" s="378" t="str">
        <f t="shared" si="332"/>
        <v/>
      </c>
    </row>
    <row r="905" spans="2:19" ht="25.5" hidden="1" x14ac:dyDescent="0.2">
      <c r="B905" s="595" t="s">
        <v>688</v>
      </c>
      <c r="C905" s="596" t="s">
        <v>472</v>
      </c>
      <c r="D905" s="597" t="s">
        <v>685</v>
      </c>
      <c r="E905" s="589"/>
      <c r="F905" s="590"/>
      <c r="G905" s="591"/>
      <c r="H905" s="592"/>
      <c r="I905" s="631">
        <v>17.47</v>
      </c>
      <c r="J905" s="631">
        <f t="shared" si="331"/>
        <v>17.47</v>
      </c>
      <c r="K905" s="593">
        <f t="shared" si="326"/>
        <v>22.14</v>
      </c>
      <c r="L905" s="382" t="s">
        <v>21</v>
      </c>
      <c r="M905" s="30"/>
      <c r="N905" s="30">
        <v>22.14</v>
      </c>
      <c r="O905" s="287">
        <f t="shared" si="327"/>
        <v>0</v>
      </c>
      <c r="P905" s="287">
        <f t="shared" si="328"/>
        <v>0</v>
      </c>
      <c r="Q905" s="288"/>
      <c r="R905" s="243"/>
      <c r="S905" s="378" t="str">
        <f t="shared" si="332"/>
        <v/>
      </c>
    </row>
    <row r="906" spans="2:19" ht="25.5" hidden="1" x14ac:dyDescent="0.2">
      <c r="B906" s="595">
        <v>836</v>
      </c>
      <c r="C906" s="596" t="s">
        <v>472</v>
      </c>
      <c r="D906" s="597" t="s">
        <v>686</v>
      </c>
      <c r="E906" s="589"/>
      <c r="F906" s="590"/>
      <c r="G906" s="591"/>
      <c r="H906" s="592"/>
      <c r="I906" s="631">
        <v>114.78</v>
      </c>
      <c r="J906" s="631">
        <f t="shared" si="331"/>
        <v>114.78</v>
      </c>
      <c r="K906" s="593">
        <f t="shared" si="326"/>
        <v>145.47999999999999</v>
      </c>
      <c r="L906" s="382" t="s">
        <v>21</v>
      </c>
      <c r="M906" s="30"/>
      <c r="N906" s="30">
        <v>145.47999999999999</v>
      </c>
      <c r="O906" s="287">
        <f t="shared" si="327"/>
        <v>0</v>
      </c>
      <c r="P906" s="287">
        <f t="shared" si="328"/>
        <v>0</v>
      </c>
      <c r="Q906" s="288"/>
      <c r="R906" s="243"/>
      <c r="S906" s="378" t="str">
        <f t="shared" si="332"/>
        <v/>
      </c>
    </row>
    <row r="907" spans="2:19" ht="25.5" hidden="1" x14ac:dyDescent="0.2">
      <c r="B907" s="595" t="s">
        <v>681</v>
      </c>
      <c r="C907" s="596" t="s">
        <v>472</v>
      </c>
      <c r="D907" s="597" t="s">
        <v>713</v>
      </c>
      <c r="E907" s="589"/>
      <c r="F907" s="590"/>
      <c r="G907" s="591"/>
      <c r="H907" s="592"/>
      <c r="I907" s="631">
        <v>57.56</v>
      </c>
      <c r="J907" s="631">
        <f t="shared" si="331"/>
        <v>57.56</v>
      </c>
      <c r="K907" s="593">
        <f t="shared" si="326"/>
        <v>72.959999999999994</v>
      </c>
      <c r="L907" s="382" t="s">
        <v>21</v>
      </c>
      <c r="M907" s="30"/>
      <c r="N907" s="30">
        <v>72.959999999999994</v>
      </c>
      <c r="O907" s="287">
        <f t="shared" si="327"/>
        <v>0</v>
      </c>
      <c r="P907" s="287">
        <f t="shared" si="328"/>
        <v>0</v>
      </c>
      <c r="Q907" s="288"/>
      <c r="R907" s="243"/>
      <c r="S907" s="378" t="str">
        <f t="shared" si="332"/>
        <v/>
      </c>
    </row>
    <row r="908" spans="2:19" hidden="1" x14ac:dyDescent="0.2">
      <c r="B908" s="595">
        <v>837</v>
      </c>
      <c r="C908" s="596" t="s">
        <v>472</v>
      </c>
      <c r="D908" s="597" t="s">
        <v>687</v>
      </c>
      <c r="E908" s="589"/>
      <c r="F908" s="590"/>
      <c r="G908" s="591"/>
      <c r="H908" s="592"/>
      <c r="I908" s="631">
        <v>20.9</v>
      </c>
      <c r="J908" s="631">
        <f t="shared" si="331"/>
        <v>20.9</v>
      </c>
      <c r="K908" s="593">
        <f t="shared" si="326"/>
        <v>26.49</v>
      </c>
      <c r="L908" s="382" t="s">
        <v>21</v>
      </c>
      <c r="M908" s="30"/>
      <c r="N908" s="30">
        <v>26.49</v>
      </c>
      <c r="O908" s="287">
        <f t="shared" si="327"/>
        <v>0</v>
      </c>
      <c r="P908" s="287">
        <f t="shared" si="328"/>
        <v>0</v>
      </c>
      <c r="Q908" s="288"/>
      <c r="R908" s="243"/>
      <c r="S908" s="378" t="str">
        <f t="shared" si="332"/>
        <v/>
      </c>
    </row>
    <row r="909" spans="2:19" hidden="1" x14ac:dyDescent="0.2">
      <c r="B909" s="595">
        <v>838</v>
      </c>
      <c r="C909" s="596" t="s">
        <v>472</v>
      </c>
      <c r="D909" s="597" t="s">
        <v>697</v>
      </c>
      <c r="E909" s="589"/>
      <c r="F909" s="590"/>
      <c r="G909" s="591"/>
      <c r="H909" s="592"/>
      <c r="I909" s="631">
        <v>53.11</v>
      </c>
      <c r="J909" s="631">
        <f t="shared" si="331"/>
        <v>53.11</v>
      </c>
      <c r="K909" s="593">
        <f t="shared" si="326"/>
        <v>67.319999999999993</v>
      </c>
      <c r="L909" s="382" t="s">
        <v>21</v>
      </c>
      <c r="M909" s="30"/>
      <c r="N909" s="30">
        <v>67.319999999999993</v>
      </c>
      <c r="O909" s="287">
        <f t="shared" si="327"/>
        <v>0</v>
      </c>
      <c r="P909" s="287">
        <f t="shared" si="328"/>
        <v>0</v>
      </c>
      <c r="Q909" s="288"/>
      <c r="R909" s="243"/>
      <c r="S909" s="378" t="str">
        <f t="shared" si="332"/>
        <v/>
      </c>
    </row>
    <row r="910" spans="2:19" hidden="1" x14ac:dyDescent="0.2">
      <c r="B910" s="595" t="s">
        <v>689</v>
      </c>
      <c r="C910" s="596" t="s">
        <v>472</v>
      </c>
      <c r="D910" s="597" t="s">
        <v>698</v>
      </c>
      <c r="E910" s="589"/>
      <c r="F910" s="590"/>
      <c r="G910" s="591"/>
      <c r="H910" s="592"/>
      <c r="I910" s="631">
        <v>21.24</v>
      </c>
      <c r="J910" s="631">
        <f t="shared" si="331"/>
        <v>21.24</v>
      </c>
      <c r="K910" s="593">
        <f t="shared" si="326"/>
        <v>26.92</v>
      </c>
      <c r="L910" s="382" t="s">
        <v>21</v>
      </c>
      <c r="M910" s="30"/>
      <c r="N910" s="30">
        <v>26.92</v>
      </c>
      <c r="O910" s="287">
        <f t="shared" si="327"/>
        <v>0</v>
      </c>
      <c r="P910" s="287">
        <f t="shared" si="328"/>
        <v>0</v>
      </c>
      <c r="Q910" s="288"/>
      <c r="R910" s="243"/>
      <c r="S910" s="378" t="str">
        <f t="shared" si="332"/>
        <v/>
      </c>
    </row>
    <row r="911" spans="2:19" hidden="1" x14ac:dyDescent="0.2">
      <c r="B911" s="595">
        <v>839</v>
      </c>
      <c r="C911" s="596" t="s">
        <v>472</v>
      </c>
      <c r="D911" s="597" t="s">
        <v>699</v>
      </c>
      <c r="E911" s="589"/>
      <c r="F911" s="590"/>
      <c r="G911" s="591"/>
      <c r="H911" s="592"/>
      <c r="I911" s="631">
        <v>171.99</v>
      </c>
      <c r="J911" s="631">
        <f t="shared" si="331"/>
        <v>171.99</v>
      </c>
      <c r="K911" s="593">
        <f t="shared" si="326"/>
        <v>218</v>
      </c>
      <c r="L911" s="382" t="s">
        <v>21</v>
      </c>
      <c r="M911" s="30"/>
      <c r="N911" s="30">
        <v>218</v>
      </c>
      <c r="O911" s="287">
        <f t="shared" si="327"/>
        <v>0</v>
      </c>
      <c r="P911" s="287">
        <f t="shared" si="328"/>
        <v>0</v>
      </c>
      <c r="Q911" s="288"/>
      <c r="R911" s="243"/>
      <c r="S911" s="378" t="str">
        <f t="shared" si="332"/>
        <v/>
      </c>
    </row>
    <row r="912" spans="2:19" hidden="1" x14ac:dyDescent="0.2">
      <c r="B912" s="595" t="s">
        <v>690</v>
      </c>
      <c r="C912" s="596" t="s">
        <v>472</v>
      </c>
      <c r="D912" s="597" t="s">
        <v>700</v>
      </c>
      <c r="E912" s="589"/>
      <c r="F912" s="590"/>
      <c r="G912" s="591"/>
      <c r="H912" s="592"/>
      <c r="I912" s="631">
        <v>120.26</v>
      </c>
      <c r="J912" s="631">
        <f t="shared" si="331"/>
        <v>120.26</v>
      </c>
      <c r="K912" s="593">
        <f t="shared" si="326"/>
        <v>152.43</v>
      </c>
      <c r="L912" s="382" t="s">
        <v>21</v>
      </c>
      <c r="M912" s="30"/>
      <c r="N912" s="30">
        <v>152.43</v>
      </c>
      <c r="O912" s="287">
        <f t="shared" si="327"/>
        <v>0</v>
      </c>
      <c r="P912" s="287">
        <f t="shared" si="328"/>
        <v>0</v>
      </c>
      <c r="Q912" s="288"/>
      <c r="R912" s="243"/>
      <c r="S912" s="378" t="str">
        <f t="shared" si="332"/>
        <v/>
      </c>
    </row>
    <row r="913" spans="2:21" hidden="1" x14ac:dyDescent="0.2">
      <c r="B913" s="595">
        <v>840</v>
      </c>
      <c r="C913" s="596" t="s">
        <v>472</v>
      </c>
      <c r="D913" s="597" t="s">
        <v>701</v>
      </c>
      <c r="E913" s="589"/>
      <c r="F913" s="590"/>
      <c r="G913" s="591"/>
      <c r="H913" s="592"/>
      <c r="I913" s="631">
        <v>402.57</v>
      </c>
      <c r="J913" s="631">
        <f t="shared" si="331"/>
        <v>402.57</v>
      </c>
      <c r="K913" s="593">
        <f t="shared" si="326"/>
        <v>510.26</v>
      </c>
      <c r="L913" s="382" t="s">
        <v>21</v>
      </c>
      <c r="M913" s="30"/>
      <c r="N913" s="30">
        <v>510.26</v>
      </c>
      <c r="O913" s="287">
        <f t="shared" si="327"/>
        <v>0</v>
      </c>
      <c r="P913" s="287">
        <f t="shared" si="328"/>
        <v>0</v>
      </c>
      <c r="Q913" s="288"/>
      <c r="R913" s="243"/>
      <c r="S913" s="378" t="str">
        <f t="shared" si="332"/>
        <v/>
      </c>
    </row>
    <row r="914" spans="2:21" hidden="1" x14ac:dyDescent="0.2">
      <c r="B914" s="595" t="s">
        <v>691</v>
      </c>
      <c r="C914" s="596" t="s">
        <v>472</v>
      </c>
      <c r="D914" s="597" t="s">
        <v>718</v>
      </c>
      <c r="E914" s="589"/>
      <c r="F914" s="590"/>
      <c r="G914" s="591"/>
      <c r="H914" s="592"/>
      <c r="I914" s="631">
        <v>161.03</v>
      </c>
      <c r="J914" s="631">
        <f t="shared" si="331"/>
        <v>161.03</v>
      </c>
      <c r="K914" s="593">
        <f t="shared" si="326"/>
        <v>204.11</v>
      </c>
      <c r="L914" s="382" t="s">
        <v>21</v>
      </c>
      <c r="M914" s="30"/>
      <c r="N914" s="30">
        <v>204.11</v>
      </c>
      <c r="O914" s="287">
        <f t="shared" si="327"/>
        <v>0</v>
      </c>
      <c r="P914" s="287">
        <f t="shared" si="328"/>
        <v>0</v>
      </c>
      <c r="Q914" s="288"/>
      <c r="R914" s="243"/>
      <c r="S914" s="378" t="str">
        <f t="shared" si="332"/>
        <v/>
      </c>
    </row>
    <row r="915" spans="2:21" hidden="1" x14ac:dyDescent="0.2">
      <c r="B915" s="595">
        <v>841</v>
      </c>
      <c r="C915" s="596" t="s">
        <v>472</v>
      </c>
      <c r="D915" s="597" t="s">
        <v>702</v>
      </c>
      <c r="E915" s="589"/>
      <c r="F915" s="590"/>
      <c r="G915" s="591"/>
      <c r="H915" s="592"/>
      <c r="I915" s="631">
        <v>191.86</v>
      </c>
      <c r="J915" s="631">
        <f t="shared" ref="J915:J920" si="333">IF(ISBLANK(I915),"",SUM(H915:I915))</f>
        <v>191.86</v>
      </c>
      <c r="K915" s="593">
        <f t="shared" si="326"/>
        <v>243.18</v>
      </c>
      <c r="L915" s="382" t="s">
        <v>21</v>
      </c>
      <c r="M915" s="30"/>
      <c r="N915" s="30">
        <v>243.18</v>
      </c>
      <c r="O915" s="287">
        <f t="shared" si="327"/>
        <v>0</v>
      </c>
      <c r="P915" s="287">
        <f t="shared" si="328"/>
        <v>0</v>
      </c>
      <c r="Q915" s="288"/>
      <c r="R915" s="243"/>
      <c r="S915" s="378" t="str">
        <f t="shared" si="332"/>
        <v/>
      </c>
    </row>
    <row r="916" spans="2:21" hidden="1" x14ac:dyDescent="0.2">
      <c r="B916" s="595" t="s">
        <v>692</v>
      </c>
      <c r="C916" s="596" t="s">
        <v>472</v>
      </c>
      <c r="D916" s="597" t="s">
        <v>712</v>
      </c>
      <c r="E916" s="589"/>
      <c r="F916" s="590"/>
      <c r="G916" s="591"/>
      <c r="H916" s="592"/>
      <c r="I916" s="631">
        <v>76.75</v>
      </c>
      <c r="J916" s="631">
        <f t="shared" si="333"/>
        <v>76.75</v>
      </c>
      <c r="K916" s="593">
        <f t="shared" si="326"/>
        <v>97.28</v>
      </c>
      <c r="L916" s="382" t="s">
        <v>21</v>
      </c>
      <c r="M916" s="30"/>
      <c r="N916" s="30">
        <v>97.28</v>
      </c>
      <c r="O916" s="287">
        <f t="shared" si="327"/>
        <v>0</v>
      </c>
      <c r="P916" s="287">
        <f t="shared" si="328"/>
        <v>0</v>
      </c>
      <c r="Q916" s="288"/>
      <c r="R916" s="243"/>
      <c r="S916" s="378" t="str">
        <f t="shared" si="332"/>
        <v/>
      </c>
    </row>
    <row r="917" spans="2:21" hidden="1" x14ac:dyDescent="0.2">
      <c r="B917" s="595">
        <v>842</v>
      </c>
      <c r="C917" s="596" t="s">
        <v>472</v>
      </c>
      <c r="D917" s="597" t="s">
        <v>703</v>
      </c>
      <c r="E917" s="589"/>
      <c r="F917" s="590"/>
      <c r="G917" s="591"/>
      <c r="H917" s="592"/>
      <c r="I917" s="631">
        <v>11.99</v>
      </c>
      <c r="J917" s="631">
        <f t="shared" si="333"/>
        <v>11.99</v>
      </c>
      <c r="K917" s="593">
        <f t="shared" ref="K917:K1317" si="334">IF(ISBLANK(I917),0,ROUND(J917*(1+$F$10)*(1+$F$11*E917),2))</f>
        <v>15.2</v>
      </c>
      <c r="L917" s="382" t="s">
        <v>21</v>
      </c>
      <c r="M917" s="30"/>
      <c r="N917" s="30">
        <v>15.2</v>
      </c>
      <c r="O917" s="287">
        <f t="shared" ref="O917:O1317" si="335">IF(ISBLANK(M917),0,ROUND(K917*M917,2))</f>
        <v>0</v>
      </c>
      <c r="P917" s="287">
        <f t="shared" ref="P917:P1317" si="336">IF(ISBLANK(N917),0,ROUND(M917*N917,2))</f>
        <v>0</v>
      </c>
      <c r="Q917" s="288"/>
      <c r="R917" s="243"/>
      <c r="S917" s="378" t="str">
        <f t="shared" si="332"/>
        <v/>
      </c>
    </row>
    <row r="918" spans="2:21" hidden="1" x14ac:dyDescent="0.2">
      <c r="B918" s="595" t="s">
        <v>693</v>
      </c>
      <c r="C918" s="596" t="s">
        <v>472</v>
      </c>
      <c r="D918" s="597" t="s">
        <v>704</v>
      </c>
      <c r="E918" s="589"/>
      <c r="F918" s="590"/>
      <c r="G918" s="591"/>
      <c r="H918" s="592"/>
      <c r="I918" s="631">
        <v>4.8</v>
      </c>
      <c r="J918" s="631">
        <f t="shared" si="333"/>
        <v>4.8</v>
      </c>
      <c r="K918" s="593">
        <f t="shared" si="334"/>
        <v>6.08</v>
      </c>
      <c r="L918" s="382" t="s">
        <v>21</v>
      </c>
      <c r="M918" s="30"/>
      <c r="N918" s="30">
        <v>6.08</v>
      </c>
      <c r="O918" s="287">
        <f t="shared" si="335"/>
        <v>0</v>
      </c>
      <c r="P918" s="287">
        <f t="shared" si="336"/>
        <v>0</v>
      </c>
      <c r="Q918" s="288"/>
      <c r="R918" s="243"/>
      <c r="S918" s="378" t="str">
        <f t="shared" si="332"/>
        <v/>
      </c>
    </row>
    <row r="919" spans="2:21" hidden="1" x14ac:dyDescent="0.2">
      <c r="B919" s="595">
        <v>843</v>
      </c>
      <c r="C919" s="596" t="s">
        <v>472</v>
      </c>
      <c r="D919" s="597" t="s">
        <v>705</v>
      </c>
      <c r="E919" s="589"/>
      <c r="F919" s="590"/>
      <c r="G919" s="591"/>
      <c r="H919" s="592"/>
      <c r="I919" s="631">
        <v>133.28</v>
      </c>
      <c r="J919" s="631">
        <f t="shared" si="333"/>
        <v>133.28</v>
      </c>
      <c r="K919" s="593">
        <f t="shared" si="334"/>
        <v>168.93</v>
      </c>
      <c r="L919" s="382" t="s">
        <v>21</v>
      </c>
      <c r="M919" s="30"/>
      <c r="N919" s="30">
        <v>168.93</v>
      </c>
      <c r="O919" s="287">
        <f t="shared" si="335"/>
        <v>0</v>
      </c>
      <c r="P919" s="287">
        <f t="shared" si="336"/>
        <v>0</v>
      </c>
      <c r="Q919" s="288"/>
      <c r="R919" s="243"/>
      <c r="S919" s="378" t="str">
        <f t="shared" si="332"/>
        <v/>
      </c>
    </row>
    <row r="920" spans="2:21" ht="25.5" hidden="1" x14ac:dyDescent="0.2">
      <c r="B920" s="595" t="s">
        <v>695</v>
      </c>
      <c r="C920" s="596" t="s">
        <v>472</v>
      </c>
      <c r="D920" s="597" t="s">
        <v>717</v>
      </c>
      <c r="E920" s="589"/>
      <c r="F920" s="590"/>
      <c r="G920" s="591"/>
      <c r="H920" s="592"/>
      <c r="I920" s="631">
        <v>53.45</v>
      </c>
      <c r="J920" s="631">
        <f t="shared" si="333"/>
        <v>53.45</v>
      </c>
      <c r="K920" s="593">
        <f t="shared" si="334"/>
        <v>67.75</v>
      </c>
      <c r="L920" s="382" t="s">
        <v>21</v>
      </c>
      <c r="M920" s="30"/>
      <c r="N920" s="30">
        <v>67.75</v>
      </c>
      <c r="O920" s="287">
        <f t="shared" si="335"/>
        <v>0</v>
      </c>
      <c r="P920" s="287">
        <f t="shared" si="336"/>
        <v>0</v>
      </c>
      <c r="Q920" s="288"/>
      <c r="R920" s="243"/>
      <c r="S920" s="378" t="str">
        <f t="shared" si="332"/>
        <v/>
      </c>
    </row>
    <row r="921" spans="2:21" hidden="1" x14ac:dyDescent="0.2">
      <c r="B921" s="595">
        <v>844</v>
      </c>
      <c r="C921" s="596" t="s">
        <v>472</v>
      </c>
      <c r="D921" s="597" t="s">
        <v>706</v>
      </c>
      <c r="E921" s="589"/>
      <c r="F921" s="590"/>
      <c r="G921" s="591"/>
      <c r="H921" s="592"/>
      <c r="I921" s="631">
        <v>45.23</v>
      </c>
      <c r="J921" s="631">
        <f t="shared" ref="J921:J923" si="337">IF(ISBLANK(I921),"",SUM(H921:I921))</f>
        <v>45.23</v>
      </c>
      <c r="K921" s="593">
        <f t="shared" si="334"/>
        <v>57.33</v>
      </c>
      <c r="L921" s="382" t="s">
        <v>21</v>
      </c>
      <c r="M921" s="30"/>
      <c r="N921" s="30">
        <v>57.33</v>
      </c>
      <c r="O921" s="287">
        <f t="shared" si="335"/>
        <v>0</v>
      </c>
      <c r="P921" s="287">
        <f t="shared" si="336"/>
        <v>0</v>
      </c>
      <c r="Q921" s="288"/>
      <c r="R921" s="243"/>
      <c r="S921" s="378" t="str">
        <f t="shared" si="332"/>
        <v/>
      </c>
    </row>
    <row r="922" spans="2:21" hidden="1" x14ac:dyDescent="0.2">
      <c r="B922" s="595">
        <v>845</v>
      </c>
      <c r="C922" s="596" t="s">
        <v>472</v>
      </c>
      <c r="D922" s="597" t="s">
        <v>707</v>
      </c>
      <c r="E922" s="589"/>
      <c r="F922" s="590"/>
      <c r="G922" s="591"/>
      <c r="H922" s="592"/>
      <c r="I922" s="631">
        <v>6.85</v>
      </c>
      <c r="J922" s="631">
        <f t="shared" si="337"/>
        <v>6.85</v>
      </c>
      <c r="K922" s="593">
        <f t="shared" si="334"/>
        <v>8.68</v>
      </c>
      <c r="L922" s="382" t="s">
        <v>21</v>
      </c>
      <c r="M922" s="30"/>
      <c r="N922" s="30">
        <v>8.68</v>
      </c>
      <c r="O922" s="287">
        <f t="shared" si="335"/>
        <v>0</v>
      </c>
      <c r="P922" s="287">
        <f t="shared" si="336"/>
        <v>0</v>
      </c>
      <c r="Q922" s="288"/>
      <c r="R922" s="243"/>
      <c r="S922" s="378" t="str">
        <f t="shared" si="332"/>
        <v/>
      </c>
    </row>
    <row r="923" spans="2:21" hidden="1" x14ac:dyDescent="0.2">
      <c r="B923" s="595" t="s">
        <v>694</v>
      </c>
      <c r="C923" s="596" t="s">
        <v>472</v>
      </c>
      <c r="D923" s="597" t="s">
        <v>708</v>
      </c>
      <c r="E923" s="589"/>
      <c r="F923" s="590"/>
      <c r="G923" s="591"/>
      <c r="H923" s="592"/>
      <c r="I923" s="631">
        <v>2.74</v>
      </c>
      <c r="J923" s="631">
        <f t="shared" si="337"/>
        <v>2.74</v>
      </c>
      <c r="K923" s="593">
        <f t="shared" si="334"/>
        <v>3.47</v>
      </c>
      <c r="L923" s="382" t="s">
        <v>21</v>
      </c>
      <c r="M923" s="30"/>
      <c r="N923" s="30">
        <v>3.47</v>
      </c>
      <c r="O923" s="287">
        <f t="shared" si="335"/>
        <v>0</v>
      </c>
      <c r="P923" s="287">
        <f t="shared" si="336"/>
        <v>0</v>
      </c>
      <c r="Q923" s="288"/>
      <c r="R923" s="243"/>
      <c r="S923" s="378" t="str">
        <f t="shared" si="332"/>
        <v/>
      </c>
    </row>
    <row r="924" spans="2:21" hidden="1" x14ac:dyDescent="0.2">
      <c r="B924" s="595">
        <v>846</v>
      </c>
      <c r="C924" s="596" t="s">
        <v>472</v>
      </c>
      <c r="D924" s="597" t="s">
        <v>709</v>
      </c>
      <c r="E924" s="589"/>
      <c r="F924" s="590"/>
      <c r="G924" s="591"/>
      <c r="H924" s="592"/>
      <c r="I924" s="631">
        <v>6.85</v>
      </c>
      <c r="J924" s="631">
        <f t="shared" ref="J924:J987" si="338">IF(ISBLANK(I924),"",SUM(H924:I924))</f>
        <v>6.85</v>
      </c>
      <c r="K924" s="593">
        <f t="shared" si="334"/>
        <v>8.68</v>
      </c>
      <c r="L924" s="382" t="s">
        <v>21</v>
      </c>
      <c r="M924" s="30"/>
      <c r="N924" s="30">
        <v>8.68</v>
      </c>
      <c r="O924" s="287">
        <f t="shared" si="335"/>
        <v>0</v>
      </c>
      <c r="P924" s="287">
        <f t="shared" si="336"/>
        <v>0</v>
      </c>
      <c r="Q924" s="288"/>
      <c r="R924" s="243"/>
      <c r="S924" s="378" t="str">
        <f t="shared" si="332"/>
        <v/>
      </c>
    </row>
    <row r="925" spans="2:21" hidden="1" x14ac:dyDescent="0.2">
      <c r="B925" s="595">
        <v>859</v>
      </c>
      <c r="C925" s="596" t="s">
        <v>472</v>
      </c>
      <c r="D925" s="597" t="s">
        <v>710</v>
      </c>
      <c r="E925" s="589"/>
      <c r="F925" s="590"/>
      <c r="G925" s="591"/>
      <c r="H925" s="592"/>
      <c r="I925" s="631">
        <v>148.69999999999999</v>
      </c>
      <c r="J925" s="631">
        <f t="shared" si="338"/>
        <v>148.69999999999999</v>
      </c>
      <c r="K925" s="593">
        <f t="shared" si="334"/>
        <v>188.48</v>
      </c>
      <c r="L925" s="382" t="s">
        <v>21</v>
      </c>
      <c r="M925" s="30"/>
      <c r="N925" s="30">
        <v>188.48</v>
      </c>
      <c r="O925" s="287">
        <f t="shared" si="335"/>
        <v>0</v>
      </c>
      <c r="P925" s="287">
        <f t="shared" si="336"/>
        <v>0</v>
      </c>
      <c r="Q925" s="288"/>
      <c r="R925" s="243"/>
      <c r="S925" s="378" t="str">
        <f t="shared" si="332"/>
        <v/>
      </c>
    </row>
    <row r="926" spans="2:21" hidden="1" x14ac:dyDescent="0.2">
      <c r="B926" s="595" t="s">
        <v>696</v>
      </c>
      <c r="C926" s="596" t="s">
        <v>472</v>
      </c>
      <c r="D926" s="597" t="s">
        <v>711</v>
      </c>
      <c r="E926" s="589"/>
      <c r="F926" s="590"/>
      <c r="G926" s="591"/>
      <c r="H926" s="592"/>
      <c r="I926" s="631">
        <v>59.62</v>
      </c>
      <c r="J926" s="631">
        <f t="shared" si="338"/>
        <v>59.62</v>
      </c>
      <c r="K926" s="593">
        <f t="shared" si="334"/>
        <v>75.569999999999993</v>
      </c>
      <c r="L926" s="382" t="s">
        <v>21</v>
      </c>
      <c r="M926" s="30"/>
      <c r="N926" s="30">
        <v>75.569999999999993</v>
      </c>
      <c r="O926" s="287">
        <f t="shared" si="335"/>
        <v>0</v>
      </c>
      <c r="P926" s="287">
        <f t="shared" si="336"/>
        <v>0</v>
      </c>
      <c r="Q926" s="288"/>
      <c r="R926" s="243"/>
      <c r="S926" s="378" t="str">
        <f t="shared" si="332"/>
        <v/>
      </c>
    </row>
    <row r="927" spans="2:21" ht="38.25" hidden="1" x14ac:dyDescent="0.2">
      <c r="B927" s="595">
        <v>102102</v>
      </c>
      <c r="C927" s="596" t="s">
        <v>817</v>
      </c>
      <c r="D927" s="597" t="s">
        <v>1016</v>
      </c>
      <c r="E927" s="589"/>
      <c r="F927" s="590"/>
      <c r="G927" s="591"/>
      <c r="H927" s="592"/>
      <c r="I927" s="631">
        <v>9848.11</v>
      </c>
      <c r="J927" s="631">
        <f t="shared" si="338"/>
        <v>9848.11</v>
      </c>
      <c r="K927" s="593">
        <f t="shared" si="334"/>
        <v>12482.48</v>
      </c>
      <c r="L927" s="382" t="s">
        <v>21</v>
      </c>
      <c r="M927" s="30"/>
      <c r="N927" s="30">
        <v>12482.48</v>
      </c>
      <c r="O927" s="287">
        <f t="shared" si="335"/>
        <v>0</v>
      </c>
      <c r="P927" s="287">
        <f t="shared" si="336"/>
        <v>0</v>
      </c>
      <c r="Q927" s="288"/>
      <c r="R927" s="243"/>
      <c r="S927" s="378" t="str">
        <f t="shared" si="332"/>
        <v/>
      </c>
      <c r="U927" s="722"/>
    </row>
    <row r="928" spans="2:21" ht="38.25" hidden="1" x14ac:dyDescent="0.2">
      <c r="B928" s="595">
        <v>102103</v>
      </c>
      <c r="C928" s="596" t="s">
        <v>817</v>
      </c>
      <c r="D928" s="597" t="s">
        <v>1017</v>
      </c>
      <c r="E928" s="589"/>
      <c r="F928" s="590"/>
      <c r="G928" s="591"/>
      <c r="H928" s="592"/>
      <c r="I928" s="631">
        <v>10956.15</v>
      </c>
      <c r="J928" s="631">
        <f t="shared" si="338"/>
        <v>10956.15</v>
      </c>
      <c r="K928" s="593">
        <f t="shared" si="334"/>
        <v>13886.92</v>
      </c>
      <c r="L928" s="382" t="s">
        <v>21</v>
      </c>
      <c r="M928" s="30"/>
      <c r="N928" s="30">
        <v>13886.92</v>
      </c>
      <c r="O928" s="287">
        <f t="shared" si="335"/>
        <v>0</v>
      </c>
      <c r="P928" s="287">
        <f t="shared" si="336"/>
        <v>0</v>
      </c>
      <c r="Q928" s="288"/>
      <c r="R928" s="243"/>
      <c r="S928" s="378" t="str">
        <f t="shared" si="332"/>
        <v/>
      </c>
      <c r="U928" s="722"/>
    </row>
    <row r="929" spans="2:21" ht="38.25" hidden="1" x14ac:dyDescent="0.2">
      <c r="B929" s="595">
        <v>102104</v>
      </c>
      <c r="C929" s="596" t="s">
        <v>817</v>
      </c>
      <c r="D929" s="597" t="s">
        <v>1018</v>
      </c>
      <c r="E929" s="589"/>
      <c r="F929" s="590"/>
      <c r="G929" s="591"/>
      <c r="H929" s="592"/>
      <c r="I929" s="631">
        <v>14045.54</v>
      </c>
      <c r="J929" s="631">
        <f t="shared" si="338"/>
        <v>14045.54</v>
      </c>
      <c r="K929" s="593">
        <f t="shared" si="334"/>
        <v>17802.72</v>
      </c>
      <c r="L929" s="382" t="s">
        <v>21</v>
      </c>
      <c r="M929" s="30"/>
      <c r="N929" s="30">
        <v>17802.72</v>
      </c>
      <c r="O929" s="287">
        <f t="shared" si="335"/>
        <v>0</v>
      </c>
      <c r="P929" s="287">
        <f t="shared" si="336"/>
        <v>0</v>
      </c>
      <c r="Q929" s="288"/>
      <c r="R929" s="243"/>
      <c r="S929" s="378" t="str">
        <f t="shared" si="332"/>
        <v/>
      </c>
      <c r="U929" s="722"/>
    </row>
    <row r="930" spans="2:21" ht="38.25" hidden="1" x14ac:dyDescent="0.2">
      <c r="B930" s="595">
        <v>102105</v>
      </c>
      <c r="C930" s="596" t="s">
        <v>817</v>
      </c>
      <c r="D930" s="597" t="s">
        <v>1019</v>
      </c>
      <c r="E930" s="589"/>
      <c r="F930" s="590"/>
      <c r="G930" s="591"/>
      <c r="H930" s="592"/>
      <c r="I930" s="631">
        <v>17255.490000000002</v>
      </c>
      <c r="J930" s="631">
        <f t="shared" si="338"/>
        <v>17255.490000000002</v>
      </c>
      <c r="K930" s="593">
        <f t="shared" si="334"/>
        <v>21871.33</v>
      </c>
      <c r="L930" s="382" t="s">
        <v>21</v>
      </c>
      <c r="M930" s="30"/>
      <c r="N930" s="30">
        <v>21871.33</v>
      </c>
      <c r="O930" s="287">
        <f t="shared" si="335"/>
        <v>0</v>
      </c>
      <c r="P930" s="287">
        <f t="shared" si="336"/>
        <v>0</v>
      </c>
      <c r="Q930" s="288"/>
      <c r="R930" s="243"/>
      <c r="S930" s="378" t="str">
        <f t="shared" si="332"/>
        <v/>
      </c>
      <c r="U930" s="722"/>
    </row>
    <row r="931" spans="2:21" ht="38.25" hidden="1" x14ac:dyDescent="0.2">
      <c r="B931" s="595">
        <v>102106</v>
      </c>
      <c r="C931" s="596" t="s">
        <v>817</v>
      </c>
      <c r="D931" s="597" t="s">
        <v>1020</v>
      </c>
      <c r="E931" s="589"/>
      <c r="F931" s="590"/>
      <c r="G931" s="591"/>
      <c r="H931" s="592"/>
      <c r="I931" s="631">
        <v>21636.59</v>
      </c>
      <c r="J931" s="631">
        <f t="shared" si="338"/>
        <v>21636.59</v>
      </c>
      <c r="K931" s="593">
        <f t="shared" si="334"/>
        <v>27424.38</v>
      </c>
      <c r="L931" s="382" t="s">
        <v>21</v>
      </c>
      <c r="M931" s="30"/>
      <c r="N931" s="30">
        <v>27424.38</v>
      </c>
      <c r="O931" s="287">
        <f t="shared" si="335"/>
        <v>0</v>
      </c>
      <c r="P931" s="287">
        <f t="shared" si="336"/>
        <v>0</v>
      </c>
      <c r="Q931" s="288"/>
      <c r="R931" s="243"/>
      <c r="S931" s="378" t="str">
        <f t="shared" si="332"/>
        <v/>
      </c>
      <c r="U931" s="722"/>
    </row>
    <row r="932" spans="2:21" ht="38.25" hidden="1" x14ac:dyDescent="0.2">
      <c r="B932" s="595">
        <v>102107</v>
      </c>
      <c r="C932" s="596" t="s">
        <v>817</v>
      </c>
      <c r="D932" s="597" t="s">
        <v>1021</v>
      </c>
      <c r="E932" s="589"/>
      <c r="F932" s="590"/>
      <c r="G932" s="591"/>
      <c r="H932" s="592"/>
      <c r="I932" s="631">
        <v>30178.959999999999</v>
      </c>
      <c r="J932" s="631">
        <f t="shared" si="338"/>
        <v>30178.959999999999</v>
      </c>
      <c r="K932" s="593">
        <f t="shared" si="334"/>
        <v>38251.83</v>
      </c>
      <c r="L932" s="382" t="s">
        <v>21</v>
      </c>
      <c r="M932" s="30"/>
      <c r="N932" s="30">
        <v>38251.83</v>
      </c>
      <c r="O932" s="287">
        <f t="shared" si="335"/>
        <v>0</v>
      </c>
      <c r="P932" s="287">
        <f t="shared" si="336"/>
        <v>0</v>
      </c>
      <c r="Q932" s="288"/>
      <c r="R932" s="243"/>
      <c r="S932" s="378" t="str">
        <f t="shared" si="332"/>
        <v/>
      </c>
      <c r="U932" s="722"/>
    </row>
    <row r="933" spans="2:21" ht="38.25" hidden="1" x14ac:dyDescent="0.2">
      <c r="B933" s="595">
        <v>102108</v>
      </c>
      <c r="C933" s="596" t="s">
        <v>817</v>
      </c>
      <c r="D933" s="597" t="s">
        <v>1022</v>
      </c>
      <c r="E933" s="589"/>
      <c r="F933" s="590"/>
      <c r="G933" s="591"/>
      <c r="H933" s="592"/>
      <c r="I933" s="631">
        <v>35138.370000000003</v>
      </c>
      <c r="J933" s="631">
        <f t="shared" si="338"/>
        <v>35138.370000000003</v>
      </c>
      <c r="K933" s="593">
        <f t="shared" si="334"/>
        <v>44537.88</v>
      </c>
      <c r="L933" s="382" t="s">
        <v>21</v>
      </c>
      <c r="M933" s="30"/>
      <c r="N933" s="30">
        <v>44537.88</v>
      </c>
      <c r="O933" s="287">
        <f t="shared" si="335"/>
        <v>0</v>
      </c>
      <c r="P933" s="287">
        <f t="shared" si="336"/>
        <v>0</v>
      </c>
      <c r="Q933" s="288"/>
      <c r="R933" s="243"/>
      <c r="S933" s="378" t="str">
        <f t="shared" si="332"/>
        <v/>
      </c>
      <c r="U933" s="722"/>
    </row>
    <row r="934" spans="2:21" ht="25.5" hidden="1" x14ac:dyDescent="0.2">
      <c r="B934" s="595">
        <v>102109</v>
      </c>
      <c r="C934" s="596" t="s">
        <v>817</v>
      </c>
      <c r="D934" s="597" t="s">
        <v>1023</v>
      </c>
      <c r="E934" s="589"/>
      <c r="F934" s="590"/>
      <c r="G934" s="591"/>
      <c r="H934" s="592"/>
      <c r="I934" s="631">
        <v>45.76</v>
      </c>
      <c r="J934" s="631">
        <f t="shared" si="338"/>
        <v>45.76</v>
      </c>
      <c r="K934" s="593">
        <f t="shared" si="334"/>
        <v>58</v>
      </c>
      <c r="L934" s="382" t="s">
        <v>21</v>
      </c>
      <c r="M934" s="30"/>
      <c r="N934" s="30">
        <v>58</v>
      </c>
      <c r="O934" s="287">
        <f t="shared" si="335"/>
        <v>0</v>
      </c>
      <c r="P934" s="287">
        <f t="shared" si="336"/>
        <v>0</v>
      </c>
      <c r="Q934" s="288"/>
      <c r="R934" s="243"/>
      <c r="S934" s="378" t="str">
        <f t="shared" si="332"/>
        <v/>
      </c>
      <c r="U934" s="722"/>
    </row>
    <row r="935" spans="2:21" ht="25.5" hidden="1" x14ac:dyDescent="0.2">
      <c r="B935" s="595">
        <v>102110</v>
      </c>
      <c r="C935" s="596" t="s">
        <v>817</v>
      </c>
      <c r="D935" s="597" t="s">
        <v>1024</v>
      </c>
      <c r="E935" s="589"/>
      <c r="F935" s="590"/>
      <c r="G935" s="591"/>
      <c r="H935" s="592"/>
      <c r="I935" s="631">
        <v>123.8</v>
      </c>
      <c r="J935" s="631">
        <f t="shared" si="338"/>
        <v>123.8</v>
      </c>
      <c r="K935" s="593">
        <f t="shared" si="334"/>
        <v>156.91999999999999</v>
      </c>
      <c r="L935" s="382" t="s">
        <v>21</v>
      </c>
      <c r="M935" s="30"/>
      <c r="N935" s="30">
        <v>156.91999999999999</v>
      </c>
      <c r="O935" s="287">
        <f t="shared" si="335"/>
        <v>0</v>
      </c>
      <c r="P935" s="287">
        <f t="shared" si="336"/>
        <v>0</v>
      </c>
      <c r="Q935" s="288"/>
      <c r="R935" s="243"/>
      <c r="S935" s="378" t="str">
        <f t="shared" si="332"/>
        <v/>
      </c>
      <c r="U935" s="722"/>
    </row>
    <row r="936" spans="2:21" ht="25.5" hidden="1" x14ac:dyDescent="0.2">
      <c r="B936" s="595">
        <v>100619</v>
      </c>
      <c r="C936" s="596" t="s">
        <v>817</v>
      </c>
      <c r="D936" s="597" t="s">
        <v>1025</v>
      </c>
      <c r="E936" s="589"/>
      <c r="F936" s="590"/>
      <c r="G936" s="591"/>
      <c r="H936" s="592"/>
      <c r="I936" s="631">
        <v>644.97</v>
      </c>
      <c r="J936" s="631">
        <f t="shared" si="338"/>
        <v>644.97</v>
      </c>
      <c r="K936" s="593">
        <f t="shared" si="334"/>
        <v>817.5</v>
      </c>
      <c r="L936" s="382" t="s">
        <v>21</v>
      </c>
      <c r="M936" s="30"/>
      <c r="N936" s="30">
        <v>817.5</v>
      </c>
      <c r="O936" s="287">
        <f t="shared" si="335"/>
        <v>0</v>
      </c>
      <c r="P936" s="287">
        <f t="shared" si="336"/>
        <v>0</v>
      </c>
      <c r="Q936" s="288"/>
      <c r="R936" s="243"/>
      <c r="S936" s="378" t="str">
        <f t="shared" si="332"/>
        <v/>
      </c>
      <c r="U936" s="722"/>
    </row>
    <row r="937" spans="2:21" ht="25.5" hidden="1" x14ac:dyDescent="0.2">
      <c r="B937" s="595">
        <v>100620</v>
      </c>
      <c r="C937" s="596" t="s">
        <v>817</v>
      </c>
      <c r="D937" s="597" t="s">
        <v>1026</v>
      </c>
      <c r="E937" s="589"/>
      <c r="F937" s="590"/>
      <c r="G937" s="591"/>
      <c r="H937" s="592"/>
      <c r="I937" s="631">
        <v>3955.51</v>
      </c>
      <c r="J937" s="631">
        <f t="shared" si="338"/>
        <v>3955.51</v>
      </c>
      <c r="K937" s="593">
        <f t="shared" si="334"/>
        <v>5013.6099999999997</v>
      </c>
      <c r="L937" s="382" t="s">
        <v>21</v>
      </c>
      <c r="M937" s="30"/>
      <c r="N937" s="30">
        <v>5013.6099999999997</v>
      </c>
      <c r="O937" s="287">
        <f t="shared" si="335"/>
        <v>0</v>
      </c>
      <c r="P937" s="287">
        <f t="shared" si="336"/>
        <v>0</v>
      </c>
      <c r="Q937" s="288"/>
      <c r="R937" s="243"/>
      <c r="S937" s="378" t="str">
        <f t="shared" si="332"/>
        <v/>
      </c>
      <c r="U937" s="722"/>
    </row>
    <row r="938" spans="2:21" ht="25.5" hidden="1" x14ac:dyDescent="0.2">
      <c r="B938" s="595">
        <v>100621</v>
      </c>
      <c r="C938" s="596" t="s">
        <v>817</v>
      </c>
      <c r="D938" s="597" t="s">
        <v>1027</v>
      </c>
      <c r="E938" s="589"/>
      <c r="F938" s="590"/>
      <c r="G938" s="591"/>
      <c r="H938" s="592"/>
      <c r="I938" s="631">
        <v>4526.88</v>
      </c>
      <c r="J938" s="631">
        <f t="shared" si="338"/>
        <v>4526.88</v>
      </c>
      <c r="K938" s="593">
        <f t="shared" si="334"/>
        <v>5737.82</v>
      </c>
      <c r="L938" s="382" t="s">
        <v>21</v>
      </c>
      <c r="M938" s="30"/>
      <c r="N938" s="30">
        <v>5737.82</v>
      </c>
      <c r="O938" s="287">
        <f t="shared" si="335"/>
        <v>0</v>
      </c>
      <c r="P938" s="287">
        <f t="shared" si="336"/>
        <v>0</v>
      </c>
      <c r="Q938" s="288"/>
      <c r="R938" s="243"/>
      <c r="S938" s="378" t="str">
        <f t="shared" si="332"/>
        <v/>
      </c>
      <c r="U938" s="722"/>
    </row>
    <row r="939" spans="2:21" ht="25.5" hidden="1" x14ac:dyDescent="0.2">
      <c r="B939" s="595">
        <v>100622</v>
      </c>
      <c r="C939" s="596" t="s">
        <v>817</v>
      </c>
      <c r="D939" s="597" t="s">
        <v>1028</v>
      </c>
      <c r="E939" s="589"/>
      <c r="F939" s="590"/>
      <c r="G939" s="591"/>
      <c r="H939" s="592"/>
      <c r="I939" s="631">
        <v>2935.63</v>
      </c>
      <c r="J939" s="631">
        <f t="shared" si="338"/>
        <v>2935.63</v>
      </c>
      <c r="K939" s="593">
        <f t="shared" si="334"/>
        <v>3720.91</v>
      </c>
      <c r="L939" s="382" t="s">
        <v>21</v>
      </c>
      <c r="M939" s="30"/>
      <c r="N939" s="30">
        <v>3720.91</v>
      </c>
      <c r="O939" s="287">
        <f t="shared" si="335"/>
        <v>0</v>
      </c>
      <c r="P939" s="287">
        <f t="shared" si="336"/>
        <v>0</v>
      </c>
      <c r="Q939" s="288"/>
      <c r="R939" s="243"/>
      <c r="S939" s="378" t="str">
        <f t="shared" si="332"/>
        <v/>
      </c>
      <c r="U939" s="722"/>
    </row>
    <row r="940" spans="2:21" ht="25.5" hidden="1" x14ac:dyDescent="0.2">
      <c r="B940" s="595">
        <v>100623</v>
      </c>
      <c r="C940" s="596" t="s">
        <v>817</v>
      </c>
      <c r="D940" s="597" t="s">
        <v>1029</v>
      </c>
      <c r="E940" s="589"/>
      <c r="F940" s="590"/>
      <c r="G940" s="591"/>
      <c r="H940" s="592"/>
      <c r="I940" s="631">
        <v>3175.09</v>
      </c>
      <c r="J940" s="631">
        <f t="shared" si="338"/>
        <v>3175.09</v>
      </c>
      <c r="K940" s="593">
        <f t="shared" si="334"/>
        <v>4024.43</v>
      </c>
      <c r="L940" s="382" t="s">
        <v>21</v>
      </c>
      <c r="M940" s="30"/>
      <c r="N940" s="30">
        <v>4024.43</v>
      </c>
      <c r="O940" s="287">
        <f t="shared" si="335"/>
        <v>0</v>
      </c>
      <c r="P940" s="287">
        <f t="shared" si="336"/>
        <v>0</v>
      </c>
      <c r="Q940" s="288"/>
      <c r="R940" s="243"/>
      <c r="S940" s="378" t="str">
        <f t="shared" si="332"/>
        <v/>
      </c>
      <c r="U940" s="722"/>
    </row>
    <row r="941" spans="2:21" ht="38.25" hidden="1" x14ac:dyDescent="0.2">
      <c r="B941" s="595">
        <v>100578</v>
      </c>
      <c r="C941" s="596" t="s">
        <v>817</v>
      </c>
      <c r="D941" s="597" t="s">
        <v>1030</v>
      </c>
      <c r="E941" s="589"/>
      <c r="F941" s="590"/>
      <c r="G941" s="591"/>
      <c r="H941" s="592"/>
      <c r="I941" s="631">
        <v>489.66</v>
      </c>
      <c r="J941" s="631">
        <f t="shared" si="338"/>
        <v>489.66</v>
      </c>
      <c r="K941" s="593">
        <f t="shared" si="334"/>
        <v>620.64</v>
      </c>
      <c r="L941" s="382" t="s">
        <v>21</v>
      </c>
      <c r="M941" s="30"/>
      <c r="N941" s="30">
        <v>620.64</v>
      </c>
      <c r="O941" s="287">
        <f t="shared" si="335"/>
        <v>0</v>
      </c>
      <c r="P941" s="287">
        <f t="shared" si="336"/>
        <v>0</v>
      </c>
      <c r="Q941" s="288"/>
      <c r="R941" s="243"/>
      <c r="S941" s="378" t="str">
        <f t="shared" si="332"/>
        <v/>
      </c>
      <c r="U941" s="722"/>
    </row>
    <row r="942" spans="2:21" ht="38.25" hidden="1" x14ac:dyDescent="0.2">
      <c r="B942" s="595">
        <v>100579</v>
      </c>
      <c r="C942" s="596" t="s">
        <v>817</v>
      </c>
      <c r="D942" s="597" t="s">
        <v>1031</v>
      </c>
      <c r="E942" s="589"/>
      <c r="F942" s="590"/>
      <c r="G942" s="591"/>
      <c r="H942" s="592"/>
      <c r="I942" s="631">
        <v>537.37</v>
      </c>
      <c r="J942" s="631">
        <f t="shared" si="338"/>
        <v>537.37</v>
      </c>
      <c r="K942" s="593">
        <f t="shared" si="334"/>
        <v>681.12</v>
      </c>
      <c r="L942" s="382" t="s">
        <v>21</v>
      </c>
      <c r="M942" s="30"/>
      <c r="N942" s="30">
        <v>681.12</v>
      </c>
      <c r="O942" s="287">
        <f t="shared" si="335"/>
        <v>0</v>
      </c>
      <c r="P942" s="287">
        <f t="shared" si="336"/>
        <v>0</v>
      </c>
      <c r="Q942" s="288"/>
      <c r="R942" s="243"/>
      <c r="S942" s="378" t="str">
        <f t="shared" si="332"/>
        <v/>
      </c>
      <c r="U942" s="722"/>
    </row>
    <row r="943" spans="2:21" ht="38.25" hidden="1" x14ac:dyDescent="0.2">
      <c r="B943" s="595">
        <v>100580</v>
      </c>
      <c r="C943" s="596" t="s">
        <v>817</v>
      </c>
      <c r="D943" s="597" t="s">
        <v>1032</v>
      </c>
      <c r="E943" s="589"/>
      <c r="F943" s="590"/>
      <c r="G943" s="591"/>
      <c r="H943" s="592"/>
      <c r="I943" s="631">
        <v>586.42999999999995</v>
      </c>
      <c r="J943" s="631">
        <f t="shared" si="338"/>
        <v>586.42999999999995</v>
      </c>
      <c r="K943" s="593">
        <f t="shared" si="334"/>
        <v>743.3</v>
      </c>
      <c r="L943" s="382" t="s">
        <v>21</v>
      </c>
      <c r="M943" s="30"/>
      <c r="N943" s="30">
        <v>743.3</v>
      </c>
      <c r="O943" s="287">
        <f t="shared" si="335"/>
        <v>0</v>
      </c>
      <c r="P943" s="287">
        <f t="shared" si="336"/>
        <v>0</v>
      </c>
      <c r="Q943" s="288"/>
      <c r="R943" s="243"/>
      <c r="S943" s="378" t="str">
        <f t="shared" si="332"/>
        <v/>
      </c>
      <c r="U943" s="722"/>
    </row>
    <row r="944" spans="2:21" ht="38.25" hidden="1" x14ac:dyDescent="0.2">
      <c r="B944" s="595">
        <v>100581</v>
      </c>
      <c r="C944" s="596" t="s">
        <v>817</v>
      </c>
      <c r="D944" s="597" t="s">
        <v>1033</v>
      </c>
      <c r="E944" s="589"/>
      <c r="F944" s="590"/>
      <c r="G944" s="591"/>
      <c r="H944" s="592"/>
      <c r="I944" s="631">
        <v>561.04</v>
      </c>
      <c r="J944" s="631">
        <f t="shared" si="338"/>
        <v>561.04</v>
      </c>
      <c r="K944" s="593">
        <f t="shared" si="334"/>
        <v>711.12</v>
      </c>
      <c r="L944" s="382" t="s">
        <v>21</v>
      </c>
      <c r="M944" s="30"/>
      <c r="N944" s="30">
        <v>711.12</v>
      </c>
      <c r="O944" s="287">
        <f t="shared" si="335"/>
        <v>0</v>
      </c>
      <c r="P944" s="287">
        <f t="shared" si="336"/>
        <v>0</v>
      </c>
      <c r="Q944" s="288"/>
      <c r="R944" s="243"/>
      <c r="S944" s="378" t="str">
        <f t="shared" si="332"/>
        <v/>
      </c>
      <c r="U944" s="722"/>
    </row>
    <row r="945" spans="2:21" ht="38.25" hidden="1" x14ac:dyDescent="0.2">
      <c r="B945" s="595">
        <v>100582</v>
      </c>
      <c r="C945" s="596" t="s">
        <v>817</v>
      </c>
      <c r="D945" s="597" t="s">
        <v>1034</v>
      </c>
      <c r="E945" s="589"/>
      <c r="F945" s="590"/>
      <c r="G945" s="591"/>
      <c r="H945" s="592"/>
      <c r="I945" s="631">
        <v>649.53</v>
      </c>
      <c r="J945" s="631">
        <f t="shared" si="338"/>
        <v>649.53</v>
      </c>
      <c r="K945" s="593">
        <f t="shared" si="334"/>
        <v>823.28</v>
      </c>
      <c r="L945" s="382" t="s">
        <v>21</v>
      </c>
      <c r="M945" s="30"/>
      <c r="N945" s="30">
        <v>823.28</v>
      </c>
      <c r="O945" s="287">
        <f t="shared" si="335"/>
        <v>0</v>
      </c>
      <c r="P945" s="287">
        <f t="shared" si="336"/>
        <v>0</v>
      </c>
      <c r="Q945" s="288"/>
      <c r="R945" s="243"/>
      <c r="S945" s="378" t="str">
        <f t="shared" si="332"/>
        <v/>
      </c>
      <c r="U945" s="722"/>
    </row>
    <row r="946" spans="2:21" ht="38.25" hidden="1" x14ac:dyDescent="0.2">
      <c r="B946" s="595">
        <v>100583</v>
      </c>
      <c r="C946" s="596" t="s">
        <v>817</v>
      </c>
      <c r="D946" s="597" t="s">
        <v>1035</v>
      </c>
      <c r="E946" s="589"/>
      <c r="F946" s="590"/>
      <c r="G946" s="591"/>
      <c r="H946" s="592"/>
      <c r="I946" s="631">
        <v>586.28</v>
      </c>
      <c r="J946" s="631">
        <f t="shared" si="338"/>
        <v>586.28</v>
      </c>
      <c r="K946" s="593">
        <f t="shared" si="334"/>
        <v>743.11</v>
      </c>
      <c r="L946" s="382" t="s">
        <v>21</v>
      </c>
      <c r="M946" s="30"/>
      <c r="N946" s="30">
        <v>743.11</v>
      </c>
      <c r="O946" s="287">
        <f t="shared" si="335"/>
        <v>0</v>
      </c>
      <c r="P946" s="287">
        <f t="shared" si="336"/>
        <v>0</v>
      </c>
      <c r="Q946" s="288"/>
      <c r="R946" s="243"/>
      <c r="S946" s="378" t="str">
        <f t="shared" si="332"/>
        <v/>
      </c>
      <c r="U946" s="722"/>
    </row>
    <row r="947" spans="2:21" ht="38.25" hidden="1" x14ac:dyDescent="0.2">
      <c r="B947" s="595">
        <v>100584</v>
      </c>
      <c r="C947" s="596" t="s">
        <v>817</v>
      </c>
      <c r="D947" s="597" t="s">
        <v>1036</v>
      </c>
      <c r="E947" s="589"/>
      <c r="F947" s="590"/>
      <c r="G947" s="591"/>
      <c r="H947" s="592"/>
      <c r="I947" s="631">
        <v>639.45000000000005</v>
      </c>
      <c r="J947" s="631">
        <f t="shared" si="338"/>
        <v>639.45000000000005</v>
      </c>
      <c r="K947" s="593">
        <f t="shared" si="334"/>
        <v>810.5</v>
      </c>
      <c r="L947" s="382" t="s">
        <v>21</v>
      </c>
      <c r="M947" s="30"/>
      <c r="N947" s="30">
        <v>810.5</v>
      </c>
      <c r="O947" s="287">
        <f t="shared" si="335"/>
        <v>0</v>
      </c>
      <c r="P947" s="287">
        <f t="shared" si="336"/>
        <v>0</v>
      </c>
      <c r="Q947" s="288"/>
      <c r="R947" s="243"/>
      <c r="S947" s="378" t="str">
        <f t="shared" si="332"/>
        <v/>
      </c>
      <c r="U947" s="722"/>
    </row>
    <row r="948" spans="2:21" ht="38.25" hidden="1" x14ac:dyDescent="0.2">
      <c r="B948" s="595">
        <v>100585</v>
      </c>
      <c r="C948" s="596" t="s">
        <v>817</v>
      </c>
      <c r="D948" s="597" t="s">
        <v>1037</v>
      </c>
      <c r="E948" s="589"/>
      <c r="F948" s="590"/>
      <c r="G948" s="591"/>
      <c r="H948" s="592"/>
      <c r="I948" s="631">
        <v>635.41999999999996</v>
      </c>
      <c r="J948" s="631">
        <f t="shared" si="338"/>
        <v>635.41999999999996</v>
      </c>
      <c r="K948" s="593">
        <f t="shared" si="334"/>
        <v>805.39</v>
      </c>
      <c r="L948" s="382" t="s">
        <v>21</v>
      </c>
      <c r="M948" s="30"/>
      <c r="N948" s="30">
        <v>805.39</v>
      </c>
      <c r="O948" s="287">
        <f t="shared" si="335"/>
        <v>0</v>
      </c>
      <c r="P948" s="287">
        <f t="shared" si="336"/>
        <v>0</v>
      </c>
      <c r="Q948" s="288"/>
      <c r="R948" s="243"/>
      <c r="S948" s="378" t="str">
        <f t="shared" si="332"/>
        <v/>
      </c>
      <c r="U948" s="722"/>
    </row>
    <row r="949" spans="2:21" ht="38.25" hidden="1" x14ac:dyDescent="0.2">
      <c r="B949" s="595">
        <v>100586</v>
      </c>
      <c r="C949" s="596" t="s">
        <v>817</v>
      </c>
      <c r="D949" s="597" t="s">
        <v>1038</v>
      </c>
      <c r="E949" s="589"/>
      <c r="F949" s="590"/>
      <c r="G949" s="591"/>
      <c r="H949" s="592"/>
      <c r="I949" s="631">
        <v>720.12</v>
      </c>
      <c r="J949" s="631">
        <f t="shared" si="338"/>
        <v>720.12</v>
      </c>
      <c r="K949" s="593">
        <f t="shared" si="334"/>
        <v>912.75</v>
      </c>
      <c r="L949" s="382" t="s">
        <v>21</v>
      </c>
      <c r="M949" s="30"/>
      <c r="N949" s="30">
        <v>912.75</v>
      </c>
      <c r="O949" s="287">
        <f t="shared" si="335"/>
        <v>0</v>
      </c>
      <c r="P949" s="287">
        <f t="shared" si="336"/>
        <v>0</v>
      </c>
      <c r="Q949" s="288"/>
      <c r="R949" s="243"/>
      <c r="S949" s="378" t="str">
        <f t="shared" si="332"/>
        <v/>
      </c>
      <c r="U949" s="722"/>
    </row>
    <row r="950" spans="2:21" ht="38.25" hidden="1" x14ac:dyDescent="0.2">
      <c r="B950" s="595">
        <v>100587</v>
      </c>
      <c r="C950" s="596" t="s">
        <v>817</v>
      </c>
      <c r="D950" s="597" t="s">
        <v>1039</v>
      </c>
      <c r="E950" s="589"/>
      <c r="F950" s="590"/>
      <c r="G950" s="591"/>
      <c r="H950" s="592"/>
      <c r="I950" s="631">
        <v>686.24</v>
      </c>
      <c r="J950" s="631">
        <f t="shared" si="338"/>
        <v>686.24</v>
      </c>
      <c r="K950" s="593">
        <f t="shared" si="334"/>
        <v>869.81</v>
      </c>
      <c r="L950" s="382" t="s">
        <v>21</v>
      </c>
      <c r="M950" s="30"/>
      <c r="N950" s="30">
        <v>869.81</v>
      </c>
      <c r="O950" s="287">
        <f t="shared" si="335"/>
        <v>0</v>
      </c>
      <c r="P950" s="287">
        <f t="shared" si="336"/>
        <v>0</v>
      </c>
      <c r="Q950" s="288"/>
      <c r="R950" s="243"/>
      <c r="S950" s="378" t="str">
        <f t="shared" si="332"/>
        <v/>
      </c>
      <c r="U950" s="722"/>
    </row>
    <row r="951" spans="2:21" ht="38.25" hidden="1" x14ac:dyDescent="0.2">
      <c r="B951" s="595">
        <v>100588</v>
      </c>
      <c r="C951" s="596" t="s">
        <v>817</v>
      </c>
      <c r="D951" s="597" t="s">
        <v>1040</v>
      </c>
      <c r="E951" s="589"/>
      <c r="F951" s="590"/>
      <c r="G951" s="591"/>
      <c r="H951" s="592"/>
      <c r="I951" s="631">
        <v>752.07</v>
      </c>
      <c r="J951" s="631">
        <f t="shared" si="338"/>
        <v>752.07</v>
      </c>
      <c r="K951" s="593">
        <f t="shared" si="334"/>
        <v>953.25</v>
      </c>
      <c r="L951" s="382" t="s">
        <v>21</v>
      </c>
      <c r="M951" s="30"/>
      <c r="N951" s="30">
        <v>953.25</v>
      </c>
      <c r="O951" s="287">
        <f t="shared" si="335"/>
        <v>0</v>
      </c>
      <c r="P951" s="287">
        <f t="shared" si="336"/>
        <v>0</v>
      </c>
      <c r="Q951" s="288"/>
      <c r="R951" s="243"/>
      <c r="S951" s="378" t="str">
        <f t="shared" si="332"/>
        <v/>
      </c>
      <c r="U951" s="722"/>
    </row>
    <row r="952" spans="2:21" ht="38.25" hidden="1" x14ac:dyDescent="0.2">
      <c r="B952" s="595">
        <v>100589</v>
      </c>
      <c r="C952" s="596" t="s">
        <v>817</v>
      </c>
      <c r="D952" s="597" t="s">
        <v>1041</v>
      </c>
      <c r="E952" s="589"/>
      <c r="F952" s="590"/>
      <c r="G952" s="591"/>
      <c r="H952" s="592"/>
      <c r="I952" s="631">
        <v>757.46</v>
      </c>
      <c r="J952" s="631">
        <f t="shared" si="338"/>
        <v>757.46</v>
      </c>
      <c r="K952" s="593">
        <f t="shared" si="334"/>
        <v>960.08</v>
      </c>
      <c r="L952" s="382" t="s">
        <v>21</v>
      </c>
      <c r="M952" s="30"/>
      <c r="N952" s="30">
        <v>960.08</v>
      </c>
      <c r="O952" s="287">
        <f t="shared" si="335"/>
        <v>0</v>
      </c>
      <c r="P952" s="287">
        <f t="shared" si="336"/>
        <v>0</v>
      </c>
      <c r="Q952" s="288"/>
      <c r="R952" s="243"/>
      <c r="S952" s="378" t="str">
        <f t="shared" si="332"/>
        <v/>
      </c>
      <c r="U952" s="722"/>
    </row>
    <row r="953" spans="2:21" ht="38.25" hidden="1" x14ac:dyDescent="0.2">
      <c r="B953" s="595">
        <v>100590</v>
      </c>
      <c r="C953" s="596" t="s">
        <v>817</v>
      </c>
      <c r="D953" s="597" t="s">
        <v>1042</v>
      </c>
      <c r="E953" s="589"/>
      <c r="F953" s="590"/>
      <c r="G953" s="591"/>
      <c r="H953" s="592"/>
      <c r="I953" s="631">
        <v>822.62</v>
      </c>
      <c r="J953" s="631">
        <f t="shared" si="338"/>
        <v>822.62</v>
      </c>
      <c r="K953" s="593">
        <f t="shared" si="334"/>
        <v>1042.67</v>
      </c>
      <c r="L953" s="382" t="s">
        <v>21</v>
      </c>
      <c r="M953" s="30"/>
      <c r="N953" s="30">
        <v>1042.67</v>
      </c>
      <c r="O953" s="287">
        <f t="shared" si="335"/>
        <v>0</v>
      </c>
      <c r="P953" s="287">
        <f t="shared" si="336"/>
        <v>0</v>
      </c>
      <c r="Q953" s="288"/>
      <c r="R953" s="243"/>
      <c r="S953" s="378" t="str">
        <f t="shared" si="332"/>
        <v/>
      </c>
      <c r="U953" s="722"/>
    </row>
    <row r="954" spans="2:21" ht="38.25" hidden="1" x14ac:dyDescent="0.2">
      <c r="B954" s="595">
        <v>100591</v>
      </c>
      <c r="C954" s="596" t="s">
        <v>817</v>
      </c>
      <c r="D954" s="597" t="s">
        <v>1043</v>
      </c>
      <c r="E954" s="589"/>
      <c r="F954" s="590"/>
      <c r="G954" s="591"/>
      <c r="H954" s="592"/>
      <c r="I954" s="631">
        <v>754.28</v>
      </c>
      <c r="J954" s="631">
        <f t="shared" si="338"/>
        <v>754.28</v>
      </c>
      <c r="K954" s="593">
        <f t="shared" si="334"/>
        <v>956.05</v>
      </c>
      <c r="L954" s="382" t="s">
        <v>21</v>
      </c>
      <c r="M954" s="30"/>
      <c r="N954" s="30">
        <v>956.05</v>
      </c>
      <c r="O954" s="287">
        <f t="shared" si="335"/>
        <v>0</v>
      </c>
      <c r="P954" s="287">
        <f t="shared" si="336"/>
        <v>0</v>
      </c>
      <c r="Q954" s="288"/>
      <c r="R954" s="243"/>
      <c r="S954" s="378" t="str">
        <f t="shared" si="332"/>
        <v/>
      </c>
      <c r="U954" s="722"/>
    </row>
    <row r="955" spans="2:21" ht="38.25" hidden="1" x14ac:dyDescent="0.2">
      <c r="B955" s="595">
        <v>100592</v>
      </c>
      <c r="C955" s="596" t="s">
        <v>817</v>
      </c>
      <c r="D955" s="597" t="s">
        <v>1044</v>
      </c>
      <c r="E955" s="589"/>
      <c r="F955" s="590"/>
      <c r="G955" s="591"/>
      <c r="H955" s="592"/>
      <c r="I955" s="631">
        <v>808.25</v>
      </c>
      <c r="J955" s="631">
        <f t="shared" si="338"/>
        <v>808.25</v>
      </c>
      <c r="K955" s="593">
        <f t="shared" si="334"/>
        <v>1024.46</v>
      </c>
      <c r="L955" s="382" t="s">
        <v>21</v>
      </c>
      <c r="M955" s="30"/>
      <c r="N955" s="30">
        <v>1024.46</v>
      </c>
      <c r="O955" s="287">
        <f t="shared" si="335"/>
        <v>0</v>
      </c>
      <c r="P955" s="287">
        <f t="shared" si="336"/>
        <v>0</v>
      </c>
      <c r="Q955" s="288"/>
      <c r="R955" s="243"/>
      <c r="S955" s="378" t="str">
        <f t="shared" si="332"/>
        <v/>
      </c>
      <c r="U955" s="722"/>
    </row>
    <row r="956" spans="2:21" ht="38.25" hidden="1" x14ac:dyDescent="0.2">
      <c r="B956" s="595">
        <v>100593</v>
      </c>
      <c r="C956" s="596" t="s">
        <v>817</v>
      </c>
      <c r="D956" s="597" t="s">
        <v>1045</v>
      </c>
      <c r="E956" s="589"/>
      <c r="F956" s="590"/>
      <c r="G956" s="591"/>
      <c r="H956" s="592"/>
      <c r="I956" s="631">
        <v>808.04</v>
      </c>
      <c r="J956" s="631">
        <f t="shared" si="338"/>
        <v>808.04</v>
      </c>
      <c r="K956" s="593">
        <f t="shared" si="334"/>
        <v>1024.19</v>
      </c>
      <c r="L956" s="382" t="s">
        <v>21</v>
      </c>
      <c r="M956" s="30"/>
      <c r="N956" s="30">
        <v>1024.19</v>
      </c>
      <c r="O956" s="287">
        <f t="shared" si="335"/>
        <v>0</v>
      </c>
      <c r="P956" s="287">
        <f t="shared" si="336"/>
        <v>0</v>
      </c>
      <c r="Q956" s="288"/>
      <c r="R956" s="243"/>
      <c r="S956" s="378" t="str">
        <f t="shared" si="332"/>
        <v/>
      </c>
      <c r="U956" s="722"/>
    </row>
    <row r="957" spans="2:21" ht="38.25" hidden="1" x14ac:dyDescent="0.2">
      <c r="B957" s="595">
        <v>100594</v>
      </c>
      <c r="C957" s="596" t="s">
        <v>817</v>
      </c>
      <c r="D957" s="597" t="s">
        <v>1046</v>
      </c>
      <c r="E957" s="589"/>
      <c r="F957" s="590"/>
      <c r="G957" s="591"/>
      <c r="H957" s="592"/>
      <c r="I957" s="631">
        <v>899.47</v>
      </c>
      <c r="J957" s="631">
        <f t="shared" si="338"/>
        <v>899.47</v>
      </c>
      <c r="K957" s="593">
        <f t="shared" si="334"/>
        <v>1140.08</v>
      </c>
      <c r="L957" s="382" t="s">
        <v>21</v>
      </c>
      <c r="M957" s="30"/>
      <c r="N957" s="30">
        <v>1140.08</v>
      </c>
      <c r="O957" s="287">
        <f t="shared" si="335"/>
        <v>0</v>
      </c>
      <c r="P957" s="287">
        <f t="shared" si="336"/>
        <v>0</v>
      </c>
      <c r="Q957" s="288"/>
      <c r="R957" s="243"/>
      <c r="S957" s="378" t="str">
        <f t="shared" si="332"/>
        <v/>
      </c>
      <c r="U957" s="722"/>
    </row>
    <row r="958" spans="2:21" ht="38.25" hidden="1" x14ac:dyDescent="0.2">
      <c r="B958" s="595">
        <v>100595</v>
      </c>
      <c r="C958" s="596" t="s">
        <v>817</v>
      </c>
      <c r="D958" s="597" t="s">
        <v>1047</v>
      </c>
      <c r="E958" s="589"/>
      <c r="F958" s="590"/>
      <c r="G958" s="591"/>
      <c r="H958" s="592"/>
      <c r="I958" s="631">
        <v>969.41</v>
      </c>
      <c r="J958" s="631">
        <f t="shared" si="338"/>
        <v>969.41</v>
      </c>
      <c r="K958" s="593">
        <f t="shared" si="334"/>
        <v>1228.73</v>
      </c>
      <c r="L958" s="382" t="s">
        <v>21</v>
      </c>
      <c r="M958" s="30"/>
      <c r="N958" s="30">
        <v>1228.73</v>
      </c>
      <c r="O958" s="287">
        <f t="shared" si="335"/>
        <v>0</v>
      </c>
      <c r="P958" s="287">
        <f t="shared" si="336"/>
        <v>0</v>
      </c>
      <c r="Q958" s="288"/>
      <c r="R958" s="243"/>
      <c r="S958" s="378" t="str">
        <f t="shared" si="332"/>
        <v/>
      </c>
      <c r="U958" s="722"/>
    </row>
    <row r="959" spans="2:21" ht="38.25" hidden="1" x14ac:dyDescent="0.2">
      <c r="B959" s="595">
        <v>100596</v>
      </c>
      <c r="C959" s="596" t="s">
        <v>817</v>
      </c>
      <c r="D959" s="597" t="s">
        <v>1048</v>
      </c>
      <c r="E959" s="589"/>
      <c r="F959" s="590"/>
      <c r="G959" s="591"/>
      <c r="H959" s="592"/>
      <c r="I959" s="631">
        <v>1092.68</v>
      </c>
      <c r="J959" s="631">
        <f t="shared" si="338"/>
        <v>1092.68</v>
      </c>
      <c r="K959" s="593">
        <f t="shared" si="334"/>
        <v>1384.97</v>
      </c>
      <c r="L959" s="382" t="s">
        <v>21</v>
      </c>
      <c r="M959" s="30"/>
      <c r="N959" s="30">
        <v>1384.97</v>
      </c>
      <c r="O959" s="287">
        <f t="shared" si="335"/>
        <v>0</v>
      </c>
      <c r="P959" s="287">
        <f t="shared" si="336"/>
        <v>0</v>
      </c>
      <c r="Q959" s="288"/>
      <c r="R959" s="243"/>
      <c r="S959" s="378" t="str">
        <f t="shared" ref="S959:S1022" si="339">IF(R959="x","x",IF(R959="y","x",IF(R959="xy","x",IF(P959&gt;0,"x",""))))</f>
        <v/>
      </c>
      <c r="U959" s="722"/>
    </row>
    <row r="960" spans="2:21" ht="38.25" hidden="1" x14ac:dyDescent="0.2">
      <c r="B960" s="595">
        <v>100597</v>
      </c>
      <c r="C960" s="596" t="s">
        <v>817</v>
      </c>
      <c r="D960" s="597" t="s">
        <v>1049</v>
      </c>
      <c r="E960" s="589"/>
      <c r="F960" s="590"/>
      <c r="G960" s="591"/>
      <c r="H960" s="592"/>
      <c r="I960" s="631">
        <v>1118.94</v>
      </c>
      <c r="J960" s="631">
        <f t="shared" si="338"/>
        <v>1118.94</v>
      </c>
      <c r="K960" s="593">
        <f t="shared" si="334"/>
        <v>1418.26</v>
      </c>
      <c r="L960" s="382" t="s">
        <v>21</v>
      </c>
      <c r="M960" s="30"/>
      <c r="N960" s="30">
        <v>1418.26</v>
      </c>
      <c r="O960" s="287">
        <f t="shared" si="335"/>
        <v>0</v>
      </c>
      <c r="P960" s="287">
        <f t="shared" si="336"/>
        <v>0</v>
      </c>
      <c r="Q960" s="288"/>
      <c r="R960" s="243"/>
      <c r="S960" s="378" t="str">
        <f t="shared" si="339"/>
        <v/>
      </c>
      <c r="U960" s="722"/>
    </row>
    <row r="961" spans="2:21" ht="38.25" hidden="1" x14ac:dyDescent="0.2">
      <c r="B961" s="595">
        <v>100598</v>
      </c>
      <c r="C961" s="596" t="s">
        <v>817</v>
      </c>
      <c r="D961" s="597" t="s">
        <v>1050</v>
      </c>
      <c r="E961" s="589"/>
      <c r="F961" s="590"/>
      <c r="G961" s="591"/>
      <c r="H961" s="592"/>
      <c r="I961" s="631">
        <v>1220.56</v>
      </c>
      <c r="J961" s="631">
        <f t="shared" si="338"/>
        <v>1220.56</v>
      </c>
      <c r="K961" s="593">
        <f t="shared" si="334"/>
        <v>1547.06</v>
      </c>
      <c r="L961" s="382" t="s">
        <v>21</v>
      </c>
      <c r="M961" s="30"/>
      <c r="N961" s="30">
        <v>1547.06</v>
      </c>
      <c r="O961" s="287">
        <f t="shared" si="335"/>
        <v>0</v>
      </c>
      <c r="P961" s="287">
        <f t="shared" si="336"/>
        <v>0</v>
      </c>
      <c r="Q961" s="288"/>
      <c r="R961" s="243"/>
      <c r="S961" s="378" t="str">
        <f t="shared" si="339"/>
        <v/>
      </c>
      <c r="U961" s="722"/>
    </row>
    <row r="962" spans="2:21" ht="38.25" hidden="1" x14ac:dyDescent="0.2">
      <c r="B962" s="595">
        <v>100599</v>
      </c>
      <c r="C962" s="596" t="s">
        <v>817</v>
      </c>
      <c r="D962" s="597" t="s">
        <v>1051</v>
      </c>
      <c r="E962" s="589"/>
      <c r="F962" s="590"/>
      <c r="G962" s="591"/>
      <c r="H962" s="592"/>
      <c r="I962" s="631">
        <v>498.98</v>
      </c>
      <c r="J962" s="631">
        <f t="shared" si="338"/>
        <v>498.98</v>
      </c>
      <c r="K962" s="593">
        <f t="shared" si="334"/>
        <v>632.46</v>
      </c>
      <c r="L962" s="382" t="s">
        <v>21</v>
      </c>
      <c r="M962" s="30"/>
      <c r="N962" s="30">
        <v>632.46</v>
      </c>
      <c r="O962" s="287">
        <f t="shared" si="335"/>
        <v>0</v>
      </c>
      <c r="P962" s="287">
        <f t="shared" si="336"/>
        <v>0</v>
      </c>
      <c r="Q962" s="288"/>
      <c r="R962" s="243"/>
      <c r="S962" s="378" t="str">
        <f t="shared" si="339"/>
        <v/>
      </c>
      <c r="U962" s="722"/>
    </row>
    <row r="963" spans="2:21" ht="38.25" hidden="1" x14ac:dyDescent="0.2">
      <c r="B963" s="595">
        <v>100600</v>
      </c>
      <c r="C963" s="596" t="s">
        <v>817</v>
      </c>
      <c r="D963" s="597" t="s">
        <v>1052</v>
      </c>
      <c r="E963" s="589"/>
      <c r="F963" s="590"/>
      <c r="G963" s="591"/>
      <c r="H963" s="592"/>
      <c r="I963" s="631">
        <v>584.09</v>
      </c>
      <c r="J963" s="631">
        <f t="shared" si="338"/>
        <v>584.09</v>
      </c>
      <c r="K963" s="593">
        <f t="shared" si="334"/>
        <v>740.33</v>
      </c>
      <c r="L963" s="382" t="s">
        <v>21</v>
      </c>
      <c r="M963" s="30"/>
      <c r="N963" s="30">
        <v>740.33</v>
      </c>
      <c r="O963" s="287">
        <f t="shared" si="335"/>
        <v>0</v>
      </c>
      <c r="P963" s="287">
        <f t="shared" si="336"/>
        <v>0</v>
      </c>
      <c r="Q963" s="288"/>
      <c r="R963" s="243"/>
      <c r="S963" s="378" t="str">
        <f t="shared" si="339"/>
        <v/>
      </c>
      <c r="U963" s="722"/>
    </row>
    <row r="964" spans="2:21" ht="38.25" hidden="1" x14ac:dyDescent="0.2">
      <c r="B964" s="595">
        <v>100601</v>
      </c>
      <c r="C964" s="596" t="s">
        <v>817</v>
      </c>
      <c r="D964" s="597" t="s">
        <v>1053</v>
      </c>
      <c r="E964" s="589"/>
      <c r="F964" s="590"/>
      <c r="G964" s="591"/>
      <c r="H964" s="592"/>
      <c r="I964" s="631">
        <v>725.92</v>
      </c>
      <c r="J964" s="631">
        <f t="shared" si="338"/>
        <v>725.92</v>
      </c>
      <c r="K964" s="593">
        <f t="shared" si="334"/>
        <v>920.1</v>
      </c>
      <c r="L964" s="382" t="s">
        <v>21</v>
      </c>
      <c r="M964" s="30"/>
      <c r="N964" s="30">
        <v>920.1</v>
      </c>
      <c r="O964" s="287">
        <f t="shared" si="335"/>
        <v>0</v>
      </c>
      <c r="P964" s="287">
        <f t="shared" si="336"/>
        <v>0</v>
      </c>
      <c r="Q964" s="288"/>
      <c r="R964" s="243"/>
      <c r="S964" s="378" t="str">
        <f t="shared" si="339"/>
        <v/>
      </c>
      <c r="U964" s="722"/>
    </row>
    <row r="965" spans="2:21" ht="38.25" hidden="1" x14ac:dyDescent="0.2">
      <c r="B965" s="595">
        <v>100602</v>
      </c>
      <c r="C965" s="596" t="s">
        <v>817</v>
      </c>
      <c r="D965" s="597" t="s">
        <v>1054</v>
      </c>
      <c r="E965" s="589"/>
      <c r="F965" s="590"/>
      <c r="G965" s="591"/>
      <c r="H965" s="592"/>
      <c r="I965" s="631">
        <v>902.87</v>
      </c>
      <c r="J965" s="631">
        <f t="shared" si="338"/>
        <v>902.87</v>
      </c>
      <c r="K965" s="593">
        <f t="shared" si="334"/>
        <v>1144.3900000000001</v>
      </c>
      <c r="L965" s="382" t="s">
        <v>21</v>
      </c>
      <c r="M965" s="30"/>
      <c r="N965" s="30">
        <v>1144.3900000000001</v>
      </c>
      <c r="O965" s="287">
        <f t="shared" si="335"/>
        <v>0</v>
      </c>
      <c r="P965" s="287">
        <f t="shared" si="336"/>
        <v>0</v>
      </c>
      <c r="Q965" s="288"/>
      <c r="R965" s="243"/>
      <c r="S965" s="378" t="str">
        <f t="shared" si="339"/>
        <v/>
      </c>
      <c r="U965" s="722"/>
    </row>
    <row r="966" spans="2:21" ht="38.25" hidden="1" x14ac:dyDescent="0.2">
      <c r="B966" s="595">
        <v>100603</v>
      </c>
      <c r="C966" s="596" t="s">
        <v>817</v>
      </c>
      <c r="D966" s="597" t="s">
        <v>1055</v>
      </c>
      <c r="E966" s="589"/>
      <c r="F966" s="590"/>
      <c r="G966" s="591"/>
      <c r="H966" s="592"/>
      <c r="I966" s="631">
        <v>1358.73</v>
      </c>
      <c r="J966" s="631">
        <f t="shared" si="338"/>
        <v>1358.73</v>
      </c>
      <c r="K966" s="593">
        <f t="shared" ref="K966:K1029" si="340">IF(ISBLANK(I966),0,ROUND(J966*(1+$F$10)*(1+$F$11*E966),2))</f>
        <v>1722.19</v>
      </c>
      <c r="L966" s="382" t="s">
        <v>21</v>
      </c>
      <c r="M966" s="30"/>
      <c r="N966" s="30">
        <v>1722.19</v>
      </c>
      <c r="O966" s="287">
        <f t="shared" ref="O966:O1029" si="341">IF(ISBLANK(M966),0,ROUND(K966*M966,2))</f>
        <v>0</v>
      </c>
      <c r="P966" s="287">
        <f t="shared" ref="P966:P1029" si="342">IF(ISBLANK(N966),0,ROUND(M966*N966,2))</f>
        <v>0</v>
      </c>
      <c r="Q966" s="288"/>
      <c r="R966" s="243"/>
      <c r="S966" s="378" t="str">
        <f t="shared" si="339"/>
        <v/>
      </c>
      <c r="U966" s="722"/>
    </row>
    <row r="967" spans="2:21" ht="38.25" hidden="1" x14ac:dyDescent="0.2">
      <c r="B967" s="595">
        <v>100604</v>
      </c>
      <c r="C967" s="596" t="s">
        <v>817</v>
      </c>
      <c r="D967" s="597" t="s">
        <v>1056</v>
      </c>
      <c r="E967" s="589"/>
      <c r="F967" s="590"/>
      <c r="G967" s="591"/>
      <c r="H967" s="592"/>
      <c r="I967" s="631">
        <v>623.21</v>
      </c>
      <c r="J967" s="631">
        <f t="shared" si="338"/>
        <v>623.21</v>
      </c>
      <c r="K967" s="593">
        <f t="shared" si="340"/>
        <v>789.92</v>
      </c>
      <c r="L967" s="382" t="s">
        <v>21</v>
      </c>
      <c r="M967" s="30"/>
      <c r="N967" s="30">
        <v>789.92</v>
      </c>
      <c r="O967" s="287">
        <f t="shared" si="341"/>
        <v>0</v>
      </c>
      <c r="P967" s="287">
        <f t="shared" si="342"/>
        <v>0</v>
      </c>
      <c r="Q967" s="288"/>
      <c r="R967" s="243"/>
      <c r="S967" s="378" t="str">
        <f t="shared" si="339"/>
        <v/>
      </c>
      <c r="U967" s="722"/>
    </row>
    <row r="968" spans="2:21" ht="38.25" hidden="1" x14ac:dyDescent="0.2">
      <c r="B968" s="595">
        <v>100605</v>
      </c>
      <c r="C968" s="596" t="s">
        <v>817</v>
      </c>
      <c r="D968" s="597" t="s">
        <v>1057</v>
      </c>
      <c r="E968" s="589"/>
      <c r="F968" s="590"/>
      <c r="G968" s="591"/>
      <c r="H968" s="592"/>
      <c r="I968" s="631">
        <v>951.04</v>
      </c>
      <c r="J968" s="631">
        <f t="shared" si="338"/>
        <v>951.04</v>
      </c>
      <c r="K968" s="593">
        <f t="shared" si="340"/>
        <v>1205.44</v>
      </c>
      <c r="L968" s="382" t="s">
        <v>21</v>
      </c>
      <c r="M968" s="30"/>
      <c r="N968" s="30">
        <v>1205.44</v>
      </c>
      <c r="O968" s="287">
        <f t="shared" si="341"/>
        <v>0</v>
      </c>
      <c r="P968" s="287">
        <f t="shared" si="342"/>
        <v>0</v>
      </c>
      <c r="Q968" s="288"/>
      <c r="R968" s="243"/>
      <c r="S968" s="378" t="str">
        <f t="shared" si="339"/>
        <v/>
      </c>
      <c r="U968" s="722"/>
    </row>
    <row r="969" spans="2:21" ht="38.25" hidden="1" x14ac:dyDescent="0.2">
      <c r="B969" s="595">
        <v>100606</v>
      </c>
      <c r="C969" s="596" t="s">
        <v>817</v>
      </c>
      <c r="D969" s="597" t="s">
        <v>1058</v>
      </c>
      <c r="E969" s="589"/>
      <c r="F969" s="590"/>
      <c r="G969" s="591"/>
      <c r="H969" s="592"/>
      <c r="I969" s="631">
        <v>1418.67</v>
      </c>
      <c r="J969" s="631">
        <f t="shared" si="338"/>
        <v>1418.67</v>
      </c>
      <c r="K969" s="593">
        <f t="shared" si="340"/>
        <v>1798.16</v>
      </c>
      <c r="L969" s="382" t="s">
        <v>21</v>
      </c>
      <c r="M969" s="30"/>
      <c r="N969" s="30">
        <v>1798.16</v>
      </c>
      <c r="O969" s="287">
        <f t="shared" si="341"/>
        <v>0</v>
      </c>
      <c r="P969" s="287">
        <f t="shared" si="342"/>
        <v>0</v>
      </c>
      <c r="Q969" s="288"/>
      <c r="R969" s="243"/>
      <c r="S969" s="378" t="str">
        <f t="shared" si="339"/>
        <v/>
      </c>
      <c r="U969" s="722"/>
    </row>
    <row r="970" spans="2:21" ht="38.25" hidden="1" x14ac:dyDescent="0.2">
      <c r="B970" s="595">
        <v>100607</v>
      </c>
      <c r="C970" s="596" t="s">
        <v>817</v>
      </c>
      <c r="D970" s="597" t="s">
        <v>1059</v>
      </c>
      <c r="E970" s="589"/>
      <c r="F970" s="590"/>
      <c r="G970" s="591"/>
      <c r="H970" s="592"/>
      <c r="I970" s="631">
        <v>642</v>
      </c>
      <c r="J970" s="631">
        <f t="shared" si="338"/>
        <v>642</v>
      </c>
      <c r="K970" s="593">
        <f t="shared" si="340"/>
        <v>813.74</v>
      </c>
      <c r="L970" s="382" t="s">
        <v>21</v>
      </c>
      <c r="M970" s="30"/>
      <c r="N970" s="30">
        <v>813.74</v>
      </c>
      <c r="O970" s="287">
        <f t="shared" si="341"/>
        <v>0</v>
      </c>
      <c r="P970" s="287">
        <f t="shared" si="342"/>
        <v>0</v>
      </c>
      <c r="Q970" s="288"/>
      <c r="R970" s="243"/>
      <c r="S970" s="378" t="str">
        <f t="shared" si="339"/>
        <v/>
      </c>
      <c r="U970" s="722"/>
    </row>
    <row r="971" spans="2:21" ht="38.25" hidden="1" x14ac:dyDescent="0.2">
      <c r="B971" s="595">
        <v>100608</v>
      </c>
      <c r="C971" s="596" t="s">
        <v>817</v>
      </c>
      <c r="D971" s="597" t="s">
        <v>1060</v>
      </c>
      <c r="E971" s="589"/>
      <c r="F971" s="590"/>
      <c r="G971" s="591"/>
      <c r="H971" s="592"/>
      <c r="I971" s="631">
        <v>974.85</v>
      </c>
      <c r="J971" s="631">
        <f t="shared" si="338"/>
        <v>974.85</v>
      </c>
      <c r="K971" s="593">
        <f t="shared" si="340"/>
        <v>1235.6199999999999</v>
      </c>
      <c r="L971" s="382" t="s">
        <v>21</v>
      </c>
      <c r="M971" s="30"/>
      <c r="N971" s="30">
        <v>1235.6199999999999</v>
      </c>
      <c r="O971" s="287">
        <f t="shared" si="341"/>
        <v>0</v>
      </c>
      <c r="P971" s="287">
        <f t="shared" si="342"/>
        <v>0</v>
      </c>
      <c r="Q971" s="288"/>
      <c r="R971" s="243"/>
      <c r="S971" s="378" t="str">
        <f t="shared" si="339"/>
        <v/>
      </c>
      <c r="U971" s="722"/>
    </row>
    <row r="972" spans="2:21" ht="38.25" hidden="1" x14ac:dyDescent="0.2">
      <c r="B972" s="595">
        <v>100609</v>
      </c>
      <c r="C972" s="596" t="s">
        <v>817</v>
      </c>
      <c r="D972" s="597" t="s">
        <v>1061</v>
      </c>
      <c r="E972" s="589"/>
      <c r="F972" s="590"/>
      <c r="G972" s="591"/>
      <c r="H972" s="592"/>
      <c r="I972" s="631">
        <v>1450.57</v>
      </c>
      <c r="J972" s="631">
        <f t="shared" si="338"/>
        <v>1450.57</v>
      </c>
      <c r="K972" s="593">
        <f t="shared" si="340"/>
        <v>1838.6</v>
      </c>
      <c r="L972" s="382" t="s">
        <v>21</v>
      </c>
      <c r="M972" s="30"/>
      <c r="N972" s="30">
        <v>1838.6</v>
      </c>
      <c r="O972" s="287">
        <f t="shared" si="341"/>
        <v>0</v>
      </c>
      <c r="P972" s="287">
        <f t="shared" si="342"/>
        <v>0</v>
      </c>
      <c r="Q972" s="288"/>
      <c r="R972" s="243"/>
      <c r="S972" s="378" t="str">
        <f t="shared" si="339"/>
        <v/>
      </c>
      <c r="U972" s="722"/>
    </row>
    <row r="973" spans="2:21" ht="38.25" hidden="1" x14ac:dyDescent="0.2">
      <c r="B973" s="595">
        <v>100610</v>
      </c>
      <c r="C973" s="596" t="s">
        <v>817</v>
      </c>
      <c r="D973" s="597" t="s">
        <v>1062</v>
      </c>
      <c r="E973" s="589"/>
      <c r="F973" s="590"/>
      <c r="G973" s="591"/>
      <c r="H973" s="592"/>
      <c r="I973" s="631">
        <v>660.7</v>
      </c>
      <c r="J973" s="631">
        <f t="shared" si="338"/>
        <v>660.7</v>
      </c>
      <c r="K973" s="593">
        <f t="shared" si="340"/>
        <v>837.44</v>
      </c>
      <c r="L973" s="382" t="s">
        <v>21</v>
      </c>
      <c r="M973" s="30"/>
      <c r="N973" s="30">
        <v>837.44</v>
      </c>
      <c r="O973" s="287">
        <f t="shared" si="341"/>
        <v>0</v>
      </c>
      <c r="P973" s="287">
        <f t="shared" si="342"/>
        <v>0</v>
      </c>
      <c r="Q973" s="288"/>
      <c r="R973" s="243"/>
      <c r="S973" s="378" t="str">
        <f t="shared" si="339"/>
        <v/>
      </c>
      <c r="U973" s="722"/>
    </row>
    <row r="974" spans="2:21" ht="38.25" hidden="1" x14ac:dyDescent="0.2">
      <c r="B974" s="595">
        <v>100611</v>
      </c>
      <c r="C974" s="596" t="s">
        <v>817</v>
      </c>
      <c r="D974" s="597" t="s">
        <v>1063</v>
      </c>
      <c r="E974" s="589"/>
      <c r="F974" s="590"/>
      <c r="G974" s="591"/>
      <c r="H974" s="592"/>
      <c r="I974" s="631">
        <v>810.54</v>
      </c>
      <c r="J974" s="631">
        <f t="shared" si="338"/>
        <v>810.54</v>
      </c>
      <c r="K974" s="593">
        <f t="shared" si="340"/>
        <v>1027.3599999999999</v>
      </c>
      <c r="L974" s="382" t="s">
        <v>21</v>
      </c>
      <c r="M974" s="30"/>
      <c r="N974" s="30">
        <v>1027.3599999999999</v>
      </c>
      <c r="O974" s="287">
        <f t="shared" si="341"/>
        <v>0</v>
      </c>
      <c r="P974" s="287">
        <f t="shared" si="342"/>
        <v>0</v>
      </c>
      <c r="Q974" s="288"/>
      <c r="R974" s="243"/>
      <c r="S974" s="378" t="str">
        <f t="shared" si="339"/>
        <v/>
      </c>
      <c r="U974" s="722"/>
    </row>
    <row r="975" spans="2:21" ht="38.25" hidden="1" x14ac:dyDescent="0.2">
      <c r="B975" s="595">
        <v>100612</v>
      </c>
      <c r="C975" s="596" t="s">
        <v>817</v>
      </c>
      <c r="D975" s="597" t="s">
        <v>1064</v>
      </c>
      <c r="E975" s="589"/>
      <c r="F975" s="590"/>
      <c r="G975" s="591"/>
      <c r="H975" s="592"/>
      <c r="I975" s="631">
        <v>998.26</v>
      </c>
      <c r="J975" s="631">
        <f t="shared" si="338"/>
        <v>998.26</v>
      </c>
      <c r="K975" s="593">
        <f t="shared" si="340"/>
        <v>1265.29</v>
      </c>
      <c r="L975" s="382" t="s">
        <v>21</v>
      </c>
      <c r="M975" s="30"/>
      <c r="N975" s="30">
        <v>1265.29</v>
      </c>
      <c r="O975" s="287">
        <f t="shared" si="341"/>
        <v>0</v>
      </c>
      <c r="P975" s="287">
        <f t="shared" si="342"/>
        <v>0</v>
      </c>
      <c r="Q975" s="288"/>
      <c r="R975" s="243"/>
      <c r="S975" s="378" t="str">
        <f t="shared" si="339"/>
        <v/>
      </c>
      <c r="U975" s="722"/>
    </row>
    <row r="976" spans="2:21" ht="38.25" hidden="1" x14ac:dyDescent="0.2">
      <c r="B976" s="595">
        <v>100613</v>
      </c>
      <c r="C976" s="596" t="s">
        <v>817</v>
      </c>
      <c r="D976" s="597" t="s">
        <v>1065</v>
      </c>
      <c r="E976" s="589"/>
      <c r="F976" s="590"/>
      <c r="G976" s="591"/>
      <c r="H976" s="592"/>
      <c r="I976" s="631">
        <v>1481.84</v>
      </c>
      <c r="J976" s="631">
        <f t="shared" si="338"/>
        <v>1481.84</v>
      </c>
      <c r="K976" s="593">
        <f t="shared" si="340"/>
        <v>1878.23</v>
      </c>
      <c r="L976" s="382" t="s">
        <v>21</v>
      </c>
      <c r="M976" s="30"/>
      <c r="N976" s="30">
        <v>1878.23</v>
      </c>
      <c r="O976" s="287">
        <f t="shared" si="341"/>
        <v>0</v>
      </c>
      <c r="P976" s="287">
        <f t="shared" si="342"/>
        <v>0</v>
      </c>
      <c r="Q976" s="288"/>
      <c r="R976" s="243"/>
      <c r="S976" s="378" t="str">
        <f t="shared" si="339"/>
        <v/>
      </c>
      <c r="U976" s="722"/>
    </row>
    <row r="977" spans="2:21" ht="38.25" hidden="1" x14ac:dyDescent="0.2">
      <c r="B977" s="595">
        <v>100614</v>
      </c>
      <c r="C977" s="596" t="s">
        <v>817</v>
      </c>
      <c r="D977" s="597" t="s">
        <v>1066</v>
      </c>
      <c r="E977" s="589"/>
      <c r="F977" s="590"/>
      <c r="G977" s="591"/>
      <c r="H977" s="592"/>
      <c r="I977" s="631">
        <v>852.19</v>
      </c>
      <c r="J977" s="631">
        <f t="shared" si="338"/>
        <v>852.19</v>
      </c>
      <c r="K977" s="593">
        <f t="shared" si="340"/>
        <v>1080.1500000000001</v>
      </c>
      <c r="L977" s="382" t="s">
        <v>21</v>
      </c>
      <c r="M977" s="30"/>
      <c r="N977" s="30">
        <v>1080.1500000000001</v>
      </c>
      <c r="O977" s="287">
        <f t="shared" si="341"/>
        <v>0</v>
      </c>
      <c r="P977" s="287">
        <f t="shared" si="342"/>
        <v>0</v>
      </c>
      <c r="Q977" s="288"/>
      <c r="R977" s="243"/>
      <c r="S977" s="378" t="str">
        <f t="shared" si="339"/>
        <v/>
      </c>
      <c r="U977" s="722"/>
    </row>
    <row r="978" spans="2:21" ht="38.25" hidden="1" x14ac:dyDescent="0.2">
      <c r="B978" s="595">
        <v>100615</v>
      </c>
      <c r="C978" s="596" t="s">
        <v>817</v>
      </c>
      <c r="D978" s="597" t="s">
        <v>1067</v>
      </c>
      <c r="E978" s="589"/>
      <c r="F978" s="590"/>
      <c r="G978" s="591"/>
      <c r="H978" s="592"/>
      <c r="I978" s="631">
        <v>1044.81</v>
      </c>
      <c r="J978" s="631">
        <f t="shared" si="338"/>
        <v>1044.81</v>
      </c>
      <c r="K978" s="593">
        <f t="shared" si="340"/>
        <v>1324.3</v>
      </c>
      <c r="L978" s="382" t="s">
        <v>21</v>
      </c>
      <c r="M978" s="30"/>
      <c r="N978" s="30">
        <v>1324.3</v>
      </c>
      <c r="O978" s="287">
        <f t="shared" si="341"/>
        <v>0</v>
      </c>
      <c r="P978" s="287">
        <f t="shared" si="342"/>
        <v>0</v>
      </c>
      <c r="Q978" s="288"/>
      <c r="R978" s="243"/>
      <c r="S978" s="378" t="str">
        <f t="shared" si="339"/>
        <v/>
      </c>
      <c r="U978" s="722"/>
    </row>
    <row r="979" spans="2:21" ht="38.25" hidden="1" x14ac:dyDescent="0.2">
      <c r="B979" s="595">
        <v>100616</v>
      </c>
      <c r="C979" s="596" t="s">
        <v>817</v>
      </c>
      <c r="D979" s="597" t="s">
        <v>1068</v>
      </c>
      <c r="E979" s="589"/>
      <c r="F979" s="590"/>
      <c r="G979" s="591"/>
      <c r="H979" s="592"/>
      <c r="I979" s="631">
        <v>1547.37</v>
      </c>
      <c r="J979" s="631">
        <f t="shared" si="338"/>
        <v>1547.37</v>
      </c>
      <c r="K979" s="593">
        <f t="shared" si="340"/>
        <v>1961.29</v>
      </c>
      <c r="L979" s="382" t="s">
        <v>21</v>
      </c>
      <c r="M979" s="30"/>
      <c r="N979" s="30">
        <v>1961.29</v>
      </c>
      <c r="O979" s="287">
        <f t="shared" si="341"/>
        <v>0</v>
      </c>
      <c r="P979" s="287">
        <f t="shared" si="342"/>
        <v>0</v>
      </c>
      <c r="Q979" s="288"/>
      <c r="R979" s="243"/>
      <c r="S979" s="378" t="str">
        <f t="shared" si="339"/>
        <v/>
      </c>
      <c r="U979" s="722"/>
    </row>
    <row r="980" spans="2:21" ht="38.25" hidden="1" x14ac:dyDescent="0.2">
      <c r="B980" s="595">
        <v>100617</v>
      </c>
      <c r="C980" s="596" t="s">
        <v>817</v>
      </c>
      <c r="D980" s="597" t="s">
        <v>1069</v>
      </c>
      <c r="E980" s="589"/>
      <c r="F980" s="590"/>
      <c r="G980" s="591"/>
      <c r="H980" s="592"/>
      <c r="I980" s="631">
        <v>1091.23</v>
      </c>
      <c r="J980" s="631">
        <f t="shared" si="338"/>
        <v>1091.23</v>
      </c>
      <c r="K980" s="593">
        <f t="shared" si="340"/>
        <v>1383.13</v>
      </c>
      <c r="L980" s="382" t="s">
        <v>21</v>
      </c>
      <c r="M980" s="30"/>
      <c r="N980" s="30">
        <v>1383.13</v>
      </c>
      <c r="O980" s="287">
        <f t="shared" si="341"/>
        <v>0</v>
      </c>
      <c r="P980" s="287">
        <f t="shared" si="342"/>
        <v>0</v>
      </c>
      <c r="Q980" s="288"/>
      <c r="R980" s="243"/>
      <c r="S980" s="378" t="str">
        <f t="shared" si="339"/>
        <v/>
      </c>
      <c r="U980" s="722"/>
    </row>
    <row r="981" spans="2:21" ht="38.25" hidden="1" x14ac:dyDescent="0.2">
      <c r="B981" s="595">
        <v>100618</v>
      </c>
      <c r="C981" s="596" t="s">
        <v>817</v>
      </c>
      <c r="D981" s="597" t="s">
        <v>1070</v>
      </c>
      <c r="E981" s="589"/>
      <c r="F981" s="590"/>
      <c r="G981" s="591"/>
      <c r="H981" s="592"/>
      <c r="I981" s="631">
        <v>1616.35</v>
      </c>
      <c r="J981" s="631">
        <f t="shared" si="338"/>
        <v>1616.35</v>
      </c>
      <c r="K981" s="593">
        <f t="shared" si="340"/>
        <v>2048.7199999999998</v>
      </c>
      <c r="L981" s="382" t="s">
        <v>21</v>
      </c>
      <c r="M981" s="30"/>
      <c r="N981" s="30">
        <v>2048.7199999999998</v>
      </c>
      <c r="O981" s="287">
        <f t="shared" si="341"/>
        <v>0</v>
      </c>
      <c r="P981" s="287">
        <f t="shared" si="342"/>
        <v>0</v>
      </c>
      <c r="Q981" s="288"/>
      <c r="R981" s="243"/>
      <c r="S981" s="378" t="str">
        <f t="shared" si="339"/>
        <v/>
      </c>
      <c r="U981" s="722"/>
    </row>
    <row r="982" spans="2:21" ht="25.5" hidden="1" x14ac:dyDescent="0.2">
      <c r="B982" s="595">
        <v>97660</v>
      </c>
      <c r="C982" s="596" t="s">
        <v>817</v>
      </c>
      <c r="D982" s="597" t="s">
        <v>1071</v>
      </c>
      <c r="E982" s="589"/>
      <c r="F982" s="590"/>
      <c r="G982" s="591"/>
      <c r="H982" s="592"/>
      <c r="I982" s="631">
        <v>0.67</v>
      </c>
      <c r="J982" s="631">
        <f t="shared" si="338"/>
        <v>0.67</v>
      </c>
      <c r="K982" s="593">
        <f t="shared" si="340"/>
        <v>0.85</v>
      </c>
      <c r="L982" s="382" t="s">
        <v>21</v>
      </c>
      <c r="M982" s="30"/>
      <c r="N982" s="30">
        <v>0.85</v>
      </c>
      <c r="O982" s="287">
        <f t="shared" si="341"/>
        <v>0</v>
      </c>
      <c r="P982" s="287">
        <f t="shared" si="342"/>
        <v>0</v>
      </c>
      <c r="Q982" s="288"/>
      <c r="R982" s="243"/>
      <c r="S982" s="378" t="str">
        <f t="shared" si="339"/>
        <v/>
      </c>
      <c r="U982" s="722"/>
    </row>
    <row r="983" spans="2:21" ht="25.5" hidden="1" x14ac:dyDescent="0.2">
      <c r="B983" s="595">
        <v>90447</v>
      </c>
      <c r="C983" s="596" t="s">
        <v>817</v>
      </c>
      <c r="D983" s="597" t="s">
        <v>1072</v>
      </c>
      <c r="E983" s="589"/>
      <c r="F983" s="590"/>
      <c r="G983" s="591"/>
      <c r="H983" s="592"/>
      <c r="I983" s="631">
        <v>6.94</v>
      </c>
      <c r="J983" s="631">
        <f t="shared" si="338"/>
        <v>6.94</v>
      </c>
      <c r="K983" s="593">
        <f t="shared" si="340"/>
        <v>8.8000000000000007</v>
      </c>
      <c r="L983" s="382" t="s">
        <v>19</v>
      </c>
      <c r="M983" s="30"/>
      <c r="N983" s="30">
        <v>8.8000000000000007</v>
      </c>
      <c r="O983" s="287">
        <f t="shared" si="341"/>
        <v>0</v>
      </c>
      <c r="P983" s="287">
        <f t="shared" si="342"/>
        <v>0</v>
      </c>
      <c r="Q983" s="288"/>
      <c r="R983" s="243"/>
      <c r="S983" s="378" t="str">
        <f t="shared" si="339"/>
        <v/>
      </c>
      <c r="U983" s="722"/>
    </row>
    <row r="984" spans="2:21" hidden="1" x14ac:dyDescent="0.2">
      <c r="B984" s="595">
        <v>90456</v>
      </c>
      <c r="C984" s="596" t="s">
        <v>817</v>
      </c>
      <c r="D984" s="597" t="s">
        <v>1073</v>
      </c>
      <c r="E984" s="589"/>
      <c r="F984" s="590"/>
      <c r="G984" s="591"/>
      <c r="H984" s="592"/>
      <c r="I984" s="631">
        <v>4.51</v>
      </c>
      <c r="J984" s="631">
        <f t="shared" si="338"/>
        <v>4.51</v>
      </c>
      <c r="K984" s="593">
        <f t="shared" si="340"/>
        <v>5.72</v>
      </c>
      <c r="L984" s="382" t="s">
        <v>21</v>
      </c>
      <c r="M984" s="30"/>
      <c r="N984" s="30">
        <v>5.72</v>
      </c>
      <c r="O984" s="287">
        <f t="shared" si="341"/>
        <v>0</v>
      </c>
      <c r="P984" s="287">
        <f t="shared" si="342"/>
        <v>0</v>
      </c>
      <c r="Q984" s="288"/>
      <c r="R984" s="243"/>
      <c r="S984" s="378" t="str">
        <f t="shared" si="339"/>
        <v/>
      </c>
      <c r="U984" s="722"/>
    </row>
    <row r="985" spans="2:21" ht="25.5" hidden="1" x14ac:dyDescent="0.2">
      <c r="B985" s="595">
        <v>90457</v>
      </c>
      <c r="C985" s="596" t="s">
        <v>817</v>
      </c>
      <c r="D985" s="597" t="s">
        <v>1074</v>
      </c>
      <c r="E985" s="589"/>
      <c r="F985" s="590"/>
      <c r="G985" s="591"/>
      <c r="H985" s="592"/>
      <c r="I985" s="631">
        <v>10.28</v>
      </c>
      <c r="J985" s="631">
        <f t="shared" si="338"/>
        <v>10.28</v>
      </c>
      <c r="K985" s="593">
        <f t="shared" si="340"/>
        <v>13.03</v>
      </c>
      <c r="L985" s="382" t="s">
        <v>21</v>
      </c>
      <c r="M985" s="30"/>
      <c r="N985" s="30">
        <v>13.03</v>
      </c>
      <c r="O985" s="287">
        <f t="shared" si="341"/>
        <v>0</v>
      </c>
      <c r="P985" s="287">
        <f t="shared" si="342"/>
        <v>0</v>
      </c>
      <c r="Q985" s="288"/>
      <c r="R985" s="243"/>
      <c r="S985" s="378" t="str">
        <f t="shared" si="339"/>
        <v/>
      </c>
      <c r="U985" s="722"/>
    </row>
    <row r="986" spans="2:21" hidden="1" x14ac:dyDescent="0.2">
      <c r="B986" s="595">
        <v>90458</v>
      </c>
      <c r="C986" s="596" t="s">
        <v>817</v>
      </c>
      <c r="D986" s="597" t="s">
        <v>1075</v>
      </c>
      <c r="E986" s="589"/>
      <c r="F986" s="590"/>
      <c r="G986" s="591"/>
      <c r="H986" s="592"/>
      <c r="I986" s="631">
        <v>29.17</v>
      </c>
      <c r="J986" s="631">
        <f t="shared" si="338"/>
        <v>29.17</v>
      </c>
      <c r="K986" s="593">
        <f t="shared" si="340"/>
        <v>36.97</v>
      </c>
      <c r="L986" s="382" t="s">
        <v>21</v>
      </c>
      <c r="M986" s="30"/>
      <c r="N986" s="30">
        <v>36.97</v>
      </c>
      <c r="O986" s="287">
        <f t="shared" si="341"/>
        <v>0</v>
      </c>
      <c r="P986" s="287">
        <f t="shared" si="342"/>
        <v>0</v>
      </c>
      <c r="Q986" s="288"/>
      <c r="R986" s="243"/>
      <c r="S986" s="378" t="str">
        <f t="shared" si="339"/>
        <v/>
      </c>
      <c r="U986" s="722"/>
    </row>
    <row r="987" spans="2:21" ht="25.5" hidden="1" x14ac:dyDescent="0.2">
      <c r="B987" s="595">
        <v>101938</v>
      </c>
      <c r="C987" s="596" t="s">
        <v>817</v>
      </c>
      <c r="D987" s="597" t="s">
        <v>1076</v>
      </c>
      <c r="E987" s="589"/>
      <c r="F987" s="590"/>
      <c r="G987" s="591"/>
      <c r="H987" s="592"/>
      <c r="I987" s="631">
        <v>118.71</v>
      </c>
      <c r="J987" s="631">
        <f t="shared" si="338"/>
        <v>118.71</v>
      </c>
      <c r="K987" s="593">
        <f t="shared" si="340"/>
        <v>150.46</v>
      </c>
      <c r="L987" s="382" t="s">
        <v>21</v>
      </c>
      <c r="M987" s="30"/>
      <c r="N987" s="30">
        <v>150.46</v>
      </c>
      <c r="O987" s="287">
        <f t="shared" si="341"/>
        <v>0</v>
      </c>
      <c r="P987" s="287">
        <f t="shared" si="342"/>
        <v>0</v>
      </c>
      <c r="Q987" s="288"/>
      <c r="R987" s="243"/>
      <c r="S987" s="378" t="str">
        <f t="shared" si="339"/>
        <v/>
      </c>
      <c r="U987" s="722"/>
    </row>
    <row r="988" spans="2:21" ht="25.5" hidden="1" x14ac:dyDescent="0.2">
      <c r="B988" s="595">
        <v>101489</v>
      </c>
      <c r="C988" s="596" t="s">
        <v>817</v>
      </c>
      <c r="D988" s="597" t="s">
        <v>1077</v>
      </c>
      <c r="E988" s="589"/>
      <c r="F988" s="590"/>
      <c r="G988" s="591"/>
      <c r="H988" s="592"/>
      <c r="I988" s="631">
        <v>1417.09</v>
      </c>
      <c r="J988" s="631">
        <f t="shared" ref="J988:J990" si="343">IF(ISBLANK(I988),"",SUM(H988:I988))</f>
        <v>1417.09</v>
      </c>
      <c r="K988" s="593">
        <f t="shared" si="340"/>
        <v>1796.16</v>
      </c>
      <c r="L988" s="382" t="s">
        <v>21</v>
      </c>
      <c r="M988" s="30"/>
      <c r="N988" s="30">
        <v>1796.16</v>
      </c>
      <c r="O988" s="287">
        <f t="shared" si="341"/>
        <v>0</v>
      </c>
      <c r="P988" s="287">
        <f t="shared" si="342"/>
        <v>0</v>
      </c>
      <c r="Q988" s="288"/>
      <c r="R988" s="243"/>
      <c r="S988" s="378" t="str">
        <f t="shared" si="339"/>
        <v/>
      </c>
      <c r="U988" s="722"/>
    </row>
    <row r="989" spans="2:21" ht="25.5" hidden="1" x14ac:dyDescent="0.2">
      <c r="B989" s="595">
        <v>101490</v>
      </c>
      <c r="C989" s="596" t="s">
        <v>817</v>
      </c>
      <c r="D989" s="597" t="s">
        <v>1078</v>
      </c>
      <c r="E989" s="589"/>
      <c r="F989" s="590"/>
      <c r="G989" s="591"/>
      <c r="H989" s="592"/>
      <c r="I989" s="631">
        <v>1509.27</v>
      </c>
      <c r="J989" s="631">
        <f t="shared" si="343"/>
        <v>1509.27</v>
      </c>
      <c r="K989" s="593">
        <f t="shared" si="340"/>
        <v>1913</v>
      </c>
      <c r="L989" s="382" t="s">
        <v>21</v>
      </c>
      <c r="M989" s="30"/>
      <c r="N989" s="30">
        <v>1913</v>
      </c>
      <c r="O989" s="287">
        <f t="shared" si="341"/>
        <v>0</v>
      </c>
      <c r="P989" s="287">
        <f t="shared" si="342"/>
        <v>0</v>
      </c>
      <c r="Q989" s="288"/>
      <c r="R989" s="243"/>
      <c r="S989" s="378" t="str">
        <f t="shared" si="339"/>
        <v/>
      </c>
      <c r="U989" s="722"/>
    </row>
    <row r="990" spans="2:21" ht="25.5" hidden="1" x14ac:dyDescent="0.2">
      <c r="B990" s="595">
        <v>101491</v>
      </c>
      <c r="C990" s="596" t="s">
        <v>817</v>
      </c>
      <c r="D990" s="597" t="s">
        <v>1079</v>
      </c>
      <c r="E990" s="589"/>
      <c r="F990" s="590"/>
      <c r="G990" s="591"/>
      <c r="H990" s="592"/>
      <c r="I990" s="631">
        <v>1539.96</v>
      </c>
      <c r="J990" s="631">
        <f t="shared" si="343"/>
        <v>1539.96</v>
      </c>
      <c r="K990" s="593">
        <f t="shared" si="340"/>
        <v>1951.9</v>
      </c>
      <c r="L990" s="382" t="s">
        <v>21</v>
      </c>
      <c r="M990" s="30"/>
      <c r="N990" s="30">
        <v>1951.9</v>
      </c>
      <c r="O990" s="287">
        <f t="shared" si="341"/>
        <v>0</v>
      </c>
      <c r="P990" s="287">
        <f t="shared" si="342"/>
        <v>0</v>
      </c>
      <c r="Q990" s="288"/>
      <c r="R990" s="243"/>
      <c r="S990" s="378" t="str">
        <f t="shared" si="339"/>
        <v/>
      </c>
      <c r="U990" s="722"/>
    </row>
    <row r="991" spans="2:21" ht="25.5" hidden="1" x14ac:dyDescent="0.2">
      <c r="B991" s="595">
        <v>101492</v>
      </c>
      <c r="C991" s="596" t="s">
        <v>817</v>
      </c>
      <c r="D991" s="597" t="s">
        <v>1080</v>
      </c>
      <c r="E991" s="589"/>
      <c r="F991" s="590"/>
      <c r="G991" s="591"/>
      <c r="H991" s="592"/>
      <c r="I991" s="631">
        <v>1680.11</v>
      </c>
      <c r="J991" s="631">
        <f t="shared" ref="J991:J1054" si="344">IF(ISBLANK(I991),"",SUM(H991:I991))</f>
        <v>1680.11</v>
      </c>
      <c r="K991" s="593">
        <f t="shared" si="340"/>
        <v>2129.54</v>
      </c>
      <c r="L991" s="382" t="s">
        <v>21</v>
      </c>
      <c r="M991" s="30"/>
      <c r="N991" s="30">
        <v>2129.54</v>
      </c>
      <c r="O991" s="287">
        <f t="shared" si="341"/>
        <v>0</v>
      </c>
      <c r="P991" s="287">
        <f t="shared" si="342"/>
        <v>0</v>
      </c>
      <c r="Q991" s="288"/>
      <c r="R991" s="243"/>
      <c r="S991" s="378" t="str">
        <f t="shared" si="339"/>
        <v/>
      </c>
      <c r="U991" s="722"/>
    </row>
    <row r="992" spans="2:21" ht="25.5" hidden="1" x14ac:dyDescent="0.2">
      <c r="B992" s="595">
        <v>101493</v>
      </c>
      <c r="C992" s="596" t="s">
        <v>817</v>
      </c>
      <c r="D992" s="597" t="s">
        <v>1081</v>
      </c>
      <c r="E992" s="589"/>
      <c r="F992" s="590"/>
      <c r="G992" s="591"/>
      <c r="H992" s="592"/>
      <c r="I992" s="631">
        <v>1399.93</v>
      </c>
      <c r="J992" s="631">
        <f t="shared" si="344"/>
        <v>1399.93</v>
      </c>
      <c r="K992" s="593">
        <f t="shared" si="340"/>
        <v>1774.41</v>
      </c>
      <c r="L992" s="382" t="s">
        <v>21</v>
      </c>
      <c r="M992" s="30"/>
      <c r="N992" s="30">
        <v>1774.41</v>
      </c>
      <c r="O992" s="287">
        <f t="shared" si="341"/>
        <v>0</v>
      </c>
      <c r="P992" s="287">
        <f t="shared" si="342"/>
        <v>0</v>
      </c>
      <c r="Q992" s="288"/>
      <c r="R992" s="243"/>
      <c r="S992" s="378" t="str">
        <f t="shared" si="339"/>
        <v/>
      </c>
      <c r="U992" s="722"/>
    </row>
    <row r="993" spans="2:21" ht="25.5" hidden="1" x14ac:dyDescent="0.2">
      <c r="B993" s="595">
        <v>101494</v>
      </c>
      <c r="C993" s="596" t="s">
        <v>817</v>
      </c>
      <c r="D993" s="597" t="s">
        <v>1082</v>
      </c>
      <c r="E993" s="589"/>
      <c r="F993" s="590"/>
      <c r="G993" s="591"/>
      <c r="H993" s="592"/>
      <c r="I993" s="631">
        <v>1492.11</v>
      </c>
      <c r="J993" s="631">
        <f t="shared" si="344"/>
        <v>1492.11</v>
      </c>
      <c r="K993" s="593">
        <f t="shared" si="340"/>
        <v>1891.25</v>
      </c>
      <c r="L993" s="382" t="s">
        <v>21</v>
      </c>
      <c r="M993" s="30"/>
      <c r="N993" s="30">
        <v>1891.25</v>
      </c>
      <c r="O993" s="287">
        <f t="shared" si="341"/>
        <v>0</v>
      </c>
      <c r="P993" s="287">
        <f t="shared" si="342"/>
        <v>0</v>
      </c>
      <c r="Q993" s="288"/>
      <c r="R993" s="243"/>
      <c r="S993" s="378" t="str">
        <f t="shared" si="339"/>
        <v/>
      </c>
      <c r="U993" s="722"/>
    </row>
    <row r="994" spans="2:21" ht="25.5" hidden="1" x14ac:dyDescent="0.2">
      <c r="B994" s="595">
        <v>101495</v>
      </c>
      <c r="C994" s="596" t="s">
        <v>817</v>
      </c>
      <c r="D994" s="597" t="s">
        <v>1083</v>
      </c>
      <c r="E994" s="589"/>
      <c r="F994" s="590"/>
      <c r="G994" s="591"/>
      <c r="H994" s="592"/>
      <c r="I994" s="631">
        <v>1522.8</v>
      </c>
      <c r="J994" s="631">
        <f t="shared" si="344"/>
        <v>1522.8</v>
      </c>
      <c r="K994" s="593">
        <f t="shared" si="340"/>
        <v>1930.15</v>
      </c>
      <c r="L994" s="382" t="s">
        <v>21</v>
      </c>
      <c r="M994" s="30"/>
      <c r="N994" s="30">
        <v>1930.15</v>
      </c>
      <c r="O994" s="287">
        <f t="shared" si="341"/>
        <v>0</v>
      </c>
      <c r="P994" s="287">
        <f t="shared" si="342"/>
        <v>0</v>
      </c>
      <c r="Q994" s="288"/>
      <c r="R994" s="243"/>
      <c r="S994" s="378" t="str">
        <f t="shared" si="339"/>
        <v/>
      </c>
      <c r="U994" s="722"/>
    </row>
    <row r="995" spans="2:21" ht="25.5" hidden="1" x14ac:dyDescent="0.2">
      <c r="B995" s="595">
        <v>101496</v>
      </c>
      <c r="C995" s="596" t="s">
        <v>817</v>
      </c>
      <c r="D995" s="597" t="s">
        <v>1084</v>
      </c>
      <c r="E995" s="589"/>
      <c r="F995" s="590"/>
      <c r="G995" s="591"/>
      <c r="H995" s="592"/>
      <c r="I995" s="631">
        <v>1662.95</v>
      </c>
      <c r="J995" s="631">
        <f t="shared" si="344"/>
        <v>1662.95</v>
      </c>
      <c r="K995" s="593">
        <f t="shared" si="340"/>
        <v>2107.79</v>
      </c>
      <c r="L995" s="382" t="s">
        <v>21</v>
      </c>
      <c r="M995" s="30"/>
      <c r="N995" s="30">
        <v>2107.79</v>
      </c>
      <c r="O995" s="287">
        <f t="shared" si="341"/>
        <v>0</v>
      </c>
      <c r="P995" s="287">
        <f t="shared" si="342"/>
        <v>0</v>
      </c>
      <c r="Q995" s="288"/>
      <c r="R995" s="243"/>
      <c r="S995" s="378" t="str">
        <f t="shared" si="339"/>
        <v/>
      </c>
      <c r="U995" s="722"/>
    </row>
    <row r="996" spans="2:21" ht="25.5" hidden="1" x14ac:dyDescent="0.2">
      <c r="B996" s="595">
        <v>101497</v>
      </c>
      <c r="C996" s="596" t="s">
        <v>817</v>
      </c>
      <c r="D996" s="597" t="s">
        <v>1085</v>
      </c>
      <c r="E996" s="589"/>
      <c r="F996" s="590"/>
      <c r="G996" s="591"/>
      <c r="H996" s="592"/>
      <c r="I996" s="631">
        <v>1690</v>
      </c>
      <c r="J996" s="631">
        <f t="shared" si="344"/>
        <v>1690</v>
      </c>
      <c r="K996" s="593">
        <f t="shared" si="340"/>
        <v>2142.08</v>
      </c>
      <c r="L996" s="382" t="s">
        <v>21</v>
      </c>
      <c r="M996" s="30"/>
      <c r="N996" s="30">
        <v>2142.08</v>
      </c>
      <c r="O996" s="287">
        <f t="shared" si="341"/>
        <v>0</v>
      </c>
      <c r="P996" s="287">
        <f t="shared" si="342"/>
        <v>0</v>
      </c>
      <c r="Q996" s="288"/>
      <c r="R996" s="243"/>
      <c r="S996" s="378" t="str">
        <f t="shared" si="339"/>
        <v/>
      </c>
      <c r="U996" s="722"/>
    </row>
    <row r="997" spans="2:21" ht="25.5" hidden="1" x14ac:dyDescent="0.2">
      <c r="B997" s="595">
        <v>101498</v>
      </c>
      <c r="C997" s="596" t="s">
        <v>817</v>
      </c>
      <c r="D997" s="597" t="s">
        <v>1086</v>
      </c>
      <c r="E997" s="589"/>
      <c r="F997" s="590"/>
      <c r="G997" s="591"/>
      <c r="H997" s="592"/>
      <c r="I997" s="631">
        <v>1829.53</v>
      </c>
      <c r="J997" s="631">
        <f t="shared" si="344"/>
        <v>1829.53</v>
      </c>
      <c r="K997" s="593">
        <f t="shared" si="340"/>
        <v>2318.9299999999998</v>
      </c>
      <c r="L997" s="382" t="s">
        <v>21</v>
      </c>
      <c r="M997" s="30"/>
      <c r="N997" s="30">
        <v>2318.9299999999998</v>
      </c>
      <c r="O997" s="287">
        <f t="shared" si="341"/>
        <v>0</v>
      </c>
      <c r="P997" s="287">
        <f t="shared" si="342"/>
        <v>0</v>
      </c>
      <c r="Q997" s="288"/>
      <c r="R997" s="243"/>
      <c r="S997" s="378" t="str">
        <f t="shared" si="339"/>
        <v/>
      </c>
      <c r="U997" s="722"/>
    </row>
    <row r="998" spans="2:21" ht="25.5" hidden="1" x14ac:dyDescent="0.2">
      <c r="B998" s="595">
        <v>101499</v>
      </c>
      <c r="C998" s="596" t="s">
        <v>817</v>
      </c>
      <c r="D998" s="597" t="s">
        <v>1087</v>
      </c>
      <c r="E998" s="589"/>
      <c r="F998" s="590"/>
      <c r="G998" s="591"/>
      <c r="H998" s="592"/>
      <c r="I998" s="631">
        <v>1875.98</v>
      </c>
      <c r="J998" s="631">
        <f t="shared" si="344"/>
        <v>1875.98</v>
      </c>
      <c r="K998" s="593">
        <f t="shared" si="340"/>
        <v>2377.8000000000002</v>
      </c>
      <c r="L998" s="382" t="s">
        <v>21</v>
      </c>
      <c r="M998" s="30"/>
      <c r="N998" s="30">
        <v>2377.8000000000002</v>
      </c>
      <c r="O998" s="287">
        <f t="shared" si="341"/>
        <v>0</v>
      </c>
      <c r="P998" s="287">
        <f t="shared" si="342"/>
        <v>0</v>
      </c>
      <c r="Q998" s="288"/>
      <c r="R998" s="243"/>
      <c r="S998" s="378" t="str">
        <f t="shared" si="339"/>
        <v/>
      </c>
      <c r="U998" s="722"/>
    </row>
    <row r="999" spans="2:21" ht="25.5" hidden="1" x14ac:dyDescent="0.2">
      <c r="B999" s="595">
        <v>101500</v>
      </c>
      <c r="C999" s="596" t="s">
        <v>817</v>
      </c>
      <c r="D999" s="597" t="s">
        <v>1088</v>
      </c>
      <c r="E999" s="589"/>
      <c r="F999" s="590"/>
      <c r="G999" s="591"/>
      <c r="H999" s="592"/>
      <c r="I999" s="631">
        <v>2070.1999999999998</v>
      </c>
      <c r="J999" s="631">
        <f t="shared" si="344"/>
        <v>2070.1999999999998</v>
      </c>
      <c r="K999" s="593">
        <f t="shared" si="340"/>
        <v>2623.98</v>
      </c>
      <c r="L999" s="382" t="s">
        <v>21</v>
      </c>
      <c r="M999" s="30"/>
      <c r="N999" s="30">
        <v>2623.98</v>
      </c>
      <c r="O999" s="287">
        <f t="shared" si="341"/>
        <v>0</v>
      </c>
      <c r="P999" s="287">
        <f t="shared" si="342"/>
        <v>0</v>
      </c>
      <c r="Q999" s="288"/>
      <c r="R999" s="243"/>
      <c r="S999" s="378" t="str">
        <f t="shared" si="339"/>
        <v/>
      </c>
      <c r="U999" s="722"/>
    </row>
    <row r="1000" spans="2:21" ht="25.5" hidden="1" x14ac:dyDescent="0.2">
      <c r="B1000" s="595">
        <v>101501</v>
      </c>
      <c r="C1000" s="596" t="s">
        <v>817</v>
      </c>
      <c r="D1000" s="597" t="s">
        <v>1089</v>
      </c>
      <c r="E1000" s="589"/>
      <c r="F1000" s="590"/>
      <c r="G1000" s="591"/>
      <c r="H1000" s="592"/>
      <c r="I1000" s="631">
        <v>1679.72</v>
      </c>
      <c r="J1000" s="631">
        <f t="shared" si="344"/>
        <v>1679.72</v>
      </c>
      <c r="K1000" s="593">
        <f t="shared" si="340"/>
        <v>2129.0500000000002</v>
      </c>
      <c r="L1000" s="382" t="s">
        <v>21</v>
      </c>
      <c r="M1000" s="30"/>
      <c r="N1000" s="30">
        <v>2129.0500000000002</v>
      </c>
      <c r="O1000" s="287">
        <f t="shared" si="341"/>
        <v>0</v>
      </c>
      <c r="P1000" s="287">
        <f t="shared" si="342"/>
        <v>0</v>
      </c>
      <c r="Q1000" s="288"/>
      <c r="R1000" s="243"/>
      <c r="S1000" s="378" t="str">
        <f t="shared" si="339"/>
        <v/>
      </c>
      <c r="U1000" s="722"/>
    </row>
    <row r="1001" spans="2:21" ht="25.5" hidden="1" x14ac:dyDescent="0.2">
      <c r="B1001" s="595">
        <v>101502</v>
      </c>
      <c r="C1001" s="596" t="s">
        <v>817</v>
      </c>
      <c r="D1001" s="597" t="s">
        <v>1090</v>
      </c>
      <c r="E1001" s="589"/>
      <c r="F1001" s="590"/>
      <c r="G1001" s="591"/>
      <c r="H1001" s="592"/>
      <c r="I1001" s="631">
        <v>1819.25</v>
      </c>
      <c r="J1001" s="631">
        <f t="shared" si="344"/>
        <v>1819.25</v>
      </c>
      <c r="K1001" s="593">
        <f t="shared" si="340"/>
        <v>2305.9</v>
      </c>
      <c r="L1001" s="382" t="s">
        <v>21</v>
      </c>
      <c r="M1001" s="30"/>
      <c r="N1001" s="30">
        <v>2305.9</v>
      </c>
      <c r="O1001" s="287">
        <f t="shared" si="341"/>
        <v>0</v>
      </c>
      <c r="P1001" s="287">
        <f t="shared" si="342"/>
        <v>0</v>
      </c>
      <c r="Q1001" s="288"/>
      <c r="R1001" s="243"/>
      <c r="S1001" s="378" t="str">
        <f t="shared" si="339"/>
        <v/>
      </c>
      <c r="U1001" s="722"/>
    </row>
    <row r="1002" spans="2:21" ht="25.5" hidden="1" x14ac:dyDescent="0.2">
      <c r="B1002" s="595">
        <v>101503</v>
      </c>
      <c r="C1002" s="596" t="s">
        <v>817</v>
      </c>
      <c r="D1002" s="597" t="s">
        <v>1091</v>
      </c>
      <c r="E1002" s="589"/>
      <c r="F1002" s="590"/>
      <c r="G1002" s="591"/>
      <c r="H1002" s="592"/>
      <c r="I1002" s="631">
        <v>1865.7</v>
      </c>
      <c r="J1002" s="631">
        <f t="shared" si="344"/>
        <v>1865.7</v>
      </c>
      <c r="K1002" s="593">
        <f t="shared" si="340"/>
        <v>2364.77</v>
      </c>
      <c r="L1002" s="382" t="s">
        <v>21</v>
      </c>
      <c r="M1002" s="30"/>
      <c r="N1002" s="30">
        <v>2364.77</v>
      </c>
      <c r="O1002" s="287">
        <f t="shared" si="341"/>
        <v>0</v>
      </c>
      <c r="P1002" s="287">
        <f t="shared" si="342"/>
        <v>0</v>
      </c>
      <c r="Q1002" s="288"/>
      <c r="R1002" s="243"/>
      <c r="S1002" s="378" t="str">
        <f t="shared" si="339"/>
        <v/>
      </c>
      <c r="U1002" s="722"/>
    </row>
    <row r="1003" spans="2:21" ht="25.5" hidden="1" x14ac:dyDescent="0.2">
      <c r="B1003" s="595">
        <v>101504</v>
      </c>
      <c r="C1003" s="596" t="s">
        <v>817</v>
      </c>
      <c r="D1003" s="597" t="s">
        <v>1092</v>
      </c>
      <c r="E1003" s="589"/>
      <c r="F1003" s="590"/>
      <c r="G1003" s="591"/>
      <c r="H1003" s="592"/>
      <c r="I1003" s="631">
        <v>2059.92</v>
      </c>
      <c r="J1003" s="631">
        <f t="shared" si="344"/>
        <v>2059.92</v>
      </c>
      <c r="K1003" s="593">
        <f t="shared" si="340"/>
        <v>2610.9499999999998</v>
      </c>
      <c r="L1003" s="382" t="s">
        <v>21</v>
      </c>
      <c r="M1003" s="30"/>
      <c r="N1003" s="30">
        <v>2610.9499999999998</v>
      </c>
      <c r="O1003" s="287">
        <f t="shared" si="341"/>
        <v>0</v>
      </c>
      <c r="P1003" s="287">
        <f t="shared" si="342"/>
        <v>0</v>
      </c>
      <c r="Q1003" s="288"/>
      <c r="R1003" s="243"/>
      <c r="S1003" s="378" t="str">
        <f t="shared" si="339"/>
        <v/>
      </c>
      <c r="U1003" s="722"/>
    </row>
    <row r="1004" spans="2:21" ht="25.5" hidden="1" x14ac:dyDescent="0.2">
      <c r="B1004" s="595">
        <v>101505</v>
      </c>
      <c r="C1004" s="596" t="s">
        <v>817</v>
      </c>
      <c r="D1004" s="597" t="s">
        <v>1093</v>
      </c>
      <c r="E1004" s="589"/>
      <c r="F1004" s="590"/>
      <c r="G1004" s="591"/>
      <c r="H1004" s="592"/>
      <c r="I1004" s="631">
        <v>1804.38</v>
      </c>
      <c r="J1004" s="631">
        <f t="shared" si="344"/>
        <v>1804.38</v>
      </c>
      <c r="K1004" s="593">
        <f t="shared" si="340"/>
        <v>2287.0500000000002</v>
      </c>
      <c r="L1004" s="382" t="s">
        <v>21</v>
      </c>
      <c r="M1004" s="30"/>
      <c r="N1004" s="30">
        <v>2287.0500000000002</v>
      </c>
      <c r="O1004" s="287">
        <f t="shared" si="341"/>
        <v>0</v>
      </c>
      <c r="P1004" s="287">
        <f t="shared" si="342"/>
        <v>0</v>
      </c>
      <c r="Q1004" s="288"/>
      <c r="R1004" s="243"/>
      <c r="S1004" s="378" t="str">
        <f t="shared" si="339"/>
        <v/>
      </c>
      <c r="U1004" s="722"/>
    </row>
    <row r="1005" spans="2:21" ht="25.5" hidden="1" x14ac:dyDescent="0.2">
      <c r="B1005" s="595">
        <v>101506</v>
      </c>
      <c r="C1005" s="596" t="s">
        <v>817</v>
      </c>
      <c r="D1005" s="597" t="s">
        <v>1094</v>
      </c>
      <c r="E1005" s="589"/>
      <c r="F1005" s="590"/>
      <c r="G1005" s="591"/>
      <c r="H1005" s="592"/>
      <c r="I1005" s="631">
        <v>1990.42</v>
      </c>
      <c r="J1005" s="631">
        <f t="shared" si="344"/>
        <v>1990.42</v>
      </c>
      <c r="K1005" s="593">
        <f t="shared" si="340"/>
        <v>2522.86</v>
      </c>
      <c r="L1005" s="382" t="s">
        <v>21</v>
      </c>
      <c r="M1005" s="30"/>
      <c r="N1005" s="30">
        <v>2522.86</v>
      </c>
      <c r="O1005" s="287">
        <f t="shared" si="341"/>
        <v>0</v>
      </c>
      <c r="P1005" s="287">
        <f t="shared" si="342"/>
        <v>0</v>
      </c>
      <c r="Q1005" s="288"/>
      <c r="R1005" s="243"/>
      <c r="S1005" s="378" t="str">
        <f t="shared" si="339"/>
        <v/>
      </c>
      <c r="U1005" s="722"/>
    </row>
    <row r="1006" spans="2:21" ht="25.5" hidden="1" x14ac:dyDescent="0.2">
      <c r="B1006" s="595">
        <v>101507</v>
      </c>
      <c r="C1006" s="596" t="s">
        <v>817</v>
      </c>
      <c r="D1006" s="597" t="s">
        <v>1095</v>
      </c>
      <c r="E1006" s="589"/>
      <c r="F1006" s="590"/>
      <c r="G1006" s="591"/>
      <c r="H1006" s="592"/>
      <c r="I1006" s="631">
        <v>2052.36</v>
      </c>
      <c r="J1006" s="631">
        <f t="shared" si="344"/>
        <v>2052.36</v>
      </c>
      <c r="K1006" s="593">
        <f t="shared" si="340"/>
        <v>2601.37</v>
      </c>
      <c r="L1006" s="382" t="s">
        <v>21</v>
      </c>
      <c r="M1006" s="30"/>
      <c r="N1006" s="30">
        <v>2601.37</v>
      </c>
      <c r="O1006" s="287">
        <f t="shared" si="341"/>
        <v>0</v>
      </c>
      <c r="P1006" s="287">
        <f t="shared" si="342"/>
        <v>0</v>
      </c>
      <c r="Q1006" s="288"/>
      <c r="R1006" s="243"/>
      <c r="S1006" s="378" t="str">
        <f t="shared" si="339"/>
        <v/>
      </c>
      <c r="U1006" s="722"/>
    </row>
    <row r="1007" spans="2:21" ht="25.5" hidden="1" x14ac:dyDescent="0.2">
      <c r="B1007" s="595">
        <v>101508</v>
      </c>
      <c r="C1007" s="596" t="s">
        <v>817</v>
      </c>
      <c r="D1007" s="597" t="s">
        <v>1096</v>
      </c>
      <c r="E1007" s="589"/>
      <c r="F1007" s="590"/>
      <c r="G1007" s="591"/>
      <c r="H1007" s="592"/>
      <c r="I1007" s="631">
        <v>2299.69</v>
      </c>
      <c r="J1007" s="631">
        <f t="shared" si="344"/>
        <v>2299.69</v>
      </c>
      <c r="K1007" s="593">
        <f t="shared" si="340"/>
        <v>2914.86</v>
      </c>
      <c r="L1007" s="382" t="s">
        <v>21</v>
      </c>
      <c r="M1007" s="30"/>
      <c r="N1007" s="30">
        <v>2914.86</v>
      </c>
      <c r="O1007" s="287">
        <f t="shared" si="341"/>
        <v>0</v>
      </c>
      <c r="P1007" s="287">
        <f t="shared" si="342"/>
        <v>0</v>
      </c>
      <c r="Q1007" s="288"/>
      <c r="R1007" s="243"/>
      <c r="S1007" s="378" t="str">
        <f t="shared" si="339"/>
        <v/>
      </c>
      <c r="U1007" s="722"/>
    </row>
    <row r="1008" spans="2:21" ht="25.5" hidden="1" x14ac:dyDescent="0.2">
      <c r="B1008" s="595">
        <v>101509</v>
      </c>
      <c r="C1008" s="596" t="s">
        <v>817</v>
      </c>
      <c r="D1008" s="597" t="s">
        <v>1097</v>
      </c>
      <c r="E1008" s="589"/>
      <c r="F1008" s="590"/>
      <c r="G1008" s="591"/>
      <c r="H1008" s="592"/>
      <c r="I1008" s="631">
        <v>1920.02</v>
      </c>
      <c r="J1008" s="631">
        <f t="shared" si="344"/>
        <v>1920.02</v>
      </c>
      <c r="K1008" s="593">
        <f t="shared" si="340"/>
        <v>2433.63</v>
      </c>
      <c r="L1008" s="382" t="s">
        <v>21</v>
      </c>
      <c r="M1008" s="30"/>
      <c r="N1008" s="30">
        <v>2433.63</v>
      </c>
      <c r="O1008" s="287">
        <f t="shared" si="341"/>
        <v>0</v>
      </c>
      <c r="P1008" s="287">
        <f t="shared" si="342"/>
        <v>0</v>
      </c>
      <c r="Q1008" s="288"/>
      <c r="R1008" s="243"/>
      <c r="S1008" s="378" t="str">
        <f t="shared" si="339"/>
        <v/>
      </c>
      <c r="U1008" s="722"/>
    </row>
    <row r="1009" spans="2:21" ht="25.5" hidden="1" x14ac:dyDescent="0.2">
      <c r="B1009" s="595">
        <v>101510</v>
      </c>
      <c r="C1009" s="596" t="s">
        <v>817</v>
      </c>
      <c r="D1009" s="597" t="s">
        <v>1098</v>
      </c>
      <c r="E1009" s="589"/>
      <c r="F1009" s="590"/>
      <c r="G1009" s="591"/>
      <c r="H1009" s="592"/>
      <c r="I1009" s="631">
        <v>2106.06</v>
      </c>
      <c r="J1009" s="631">
        <f t="shared" si="344"/>
        <v>2106.06</v>
      </c>
      <c r="K1009" s="593">
        <f t="shared" si="340"/>
        <v>2669.43</v>
      </c>
      <c r="L1009" s="382" t="s">
        <v>21</v>
      </c>
      <c r="M1009" s="30"/>
      <c r="N1009" s="30">
        <v>2669.43</v>
      </c>
      <c r="O1009" s="287">
        <f t="shared" si="341"/>
        <v>0</v>
      </c>
      <c r="P1009" s="287">
        <f t="shared" si="342"/>
        <v>0</v>
      </c>
      <c r="Q1009" s="288"/>
      <c r="R1009" s="243"/>
      <c r="S1009" s="378" t="str">
        <f t="shared" si="339"/>
        <v/>
      </c>
      <c r="U1009" s="722"/>
    </row>
    <row r="1010" spans="2:21" ht="25.5" hidden="1" x14ac:dyDescent="0.2">
      <c r="B1010" s="595">
        <v>101511</v>
      </c>
      <c r="C1010" s="596" t="s">
        <v>817</v>
      </c>
      <c r="D1010" s="597" t="s">
        <v>1099</v>
      </c>
      <c r="E1010" s="589"/>
      <c r="F1010" s="590"/>
      <c r="G1010" s="591"/>
      <c r="H1010" s="592"/>
      <c r="I1010" s="631">
        <v>2168</v>
      </c>
      <c r="J1010" s="631">
        <f t="shared" si="344"/>
        <v>2168</v>
      </c>
      <c r="K1010" s="593">
        <f t="shared" si="340"/>
        <v>2747.94</v>
      </c>
      <c r="L1010" s="382" t="s">
        <v>21</v>
      </c>
      <c r="M1010" s="30"/>
      <c r="N1010" s="30">
        <v>2747.94</v>
      </c>
      <c r="O1010" s="287">
        <f t="shared" si="341"/>
        <v>0</v>
      </c>
      <c r="P1010" s="287">
        <f t="shared" si="342"/>
        <v>0</v>
      </c>
      <c r="Q1010" s="288"/>
      <c r="R1010" s="243"/>
      <c r="S1010" s="378" t="str">
        <f t="shared" si="339"/>
        <v/>
      </c>
      <c r="U1010" s="722"/>
    </row>
    <row r="1011" spans="2:21" ht="25.5" hidden="1" x14ac:dyDescent="0.2">
      <c r="B1011" s="595">
        <v>101512</v>
      </c>
      <c r="C1011" s="596" t="s">
        <v>817</v>
      </c>
      <c r="D1011" s="597" t="s">
        <v>1100</v>
      </c>
      <c r="E1011" s="589"/>
      <c r="F1011" s="590"/>
      <c r="G1011" s="591"/>
      <c r="H1011" s="592"/>
      <c r="I1011" s="631">
        <v>2415.33</v>
      </c>
      <c r="J1011" s="631">
        <f t="shared" si="344"/>
        <v>2415.33</v>
      </c>
      <c r="K1011" s="593">
        <f t="shared" si="340"/>
        <v>3061.43</v>
      </c>
      <c r="L1011" s="382" t="s">
        <v>21</v>
      </c>
      <c r="M1011" s="30"/>
      <c r="N1011" s="30">
        <v>3061.43</v>
      </c>
      <c r="O1011" s="287">
        <f t="shared" si="341"/>
        <v>0</v>
      </c>
      <c r="P1011" s="287">
        <f t="shared" si="342"/>
        <v>0</v>
      </c>
      <c r="Q1011" s="288"/>
      <c r="R1011" s="243"/>
      <c r="S1011" s="378" t="str">
        <f t="shared" si="339"/>
        <v/>
      </c>
      <c r="U1011" s="722"/>
    </row>
    <row r="1012" spans="2:21" ht="25.5" hidden="1" x14ac:dyDescent="0.2">
      <c r="B1012" s="595">
        <v>101513</v>
      </c>
      <c r="C1012" s="596" t="s">
        <v>817</v>
      </c>
      <c r="D1012" s="597" t="s">
        <v>1101</v>
      </c>
      <c r="E1012" s="589"/>
      <c r="F1012" s="590"/>
      <c r="G1012" s="591"/>
      <c r="H1012" s="592"/>
      <c r="I1012" s="631">
        <v>784.54</v>
      </c>
      <c r="J1012" s="631">
        <f t="shared" si="344"/>
        <v>784.54</v>
      </c>
      <c r="K1012" s="593">
        <f t="shared" si="340"/>
        <v>994.4</v>
      </c>
      <c r="L1012" s="382" t="s">
        <v>21</v>
      </c>
      <c r="M1012" s="30"/>
      <c r="N1012" s="30">
        <v>994.4</v>
      </c>
      <c r="O1012" s="287">
        <f t="shared" si="341"/>
        <v>0</v>
      </c>
      <c r="P1012" s="287">
        <f t="shared" si="342"/>
        <v>0</v>
      </c>
      <c r="Q1012" s="288"/>
      <c r="R1012" s="243"/>
      <c r="S1012" s="378" t="str">
        <f t="shared" si="339"/>
        <v/>
      </c>
      <c r="U1012" s="722"/>
    </row>
    <row r="1013" spans="2:21" ht="25.5" hidden="1" x14ac:dyDescent="0.2">
      <c r="B1013" s="595">
        <v>101514</v>
      </c>
      <c r="C1013" s="596" t="s">
        <v>817</v>
      </c>
      <c r="D1013" s="597" t="s">
        <v>1102</v>
      </c>
      <c r="E1013" s="589"/>
      <c r="F1013" s="590"/>
      <c r="G1013" s="591"/>
      <c r="H1013" s="592"/>
      <c r="I1013" s="631">
        <v>895.16</v>
      </c>
      <c r="J1013" s="631">
        <f t="shared" si="344"/>
        <v>895.16</v>
      </c>
      <c r="K1013" s="593">
        <f t="shared" si="340"/>
        <v>1134.6199999999999</v>
      </c>
      <c r="L1013" s="382" t="s">
        <v>21</v>
      </c>
      <c r="M1013" s="30"/>
      <c r="N1013" s="30">
        <v>1134.6199999999999</v>
      </c>
      <c r="O1013" s="287">
        <f t="shared" si="341"/>
        <v>0</v>
      </c>
      <c r="P1013" s="287">
        <f t="shared" si="342"/>
        <v>0</v>
      </c>
      <c r="Q1013" s="288"/>
      <c r="R1013" s="243"/>
      <c r="S1013" s="378" t="str">
        <f t="shared" si="339"/>
        <v/>
      </c>
      <c r="U1013" s="722"/>
    </row>
    <row r="1014" spans="2:21" ht="25.5" hidden="1" x14ac:dyDescent="0.2">
      <c r="B1014" s="595">
        <v>101515</v>
      </c>
      <c r="C1014" s="596" t="s">
        <v>817</v>
      </c>
      <c r="D1014" s="597" t="s">
        <v>1103</v>
      </c>
      <c r="E1014" s="589"/>
      <c r="F1014" s="590"/>
      <c r="G1014" s="591"/>
      <c r="H1014" s="592"/>
      <c r="I1014" s="631">
        <v>931.99</v>
      </c>
      <c r="J1014" s="631">
        <f t="shared" si="344"/>
        <v>931.99</v>
      </c>
      <c r="K1014" s="593">
        <f t="shared" si="340"/>
        <v>1181.3</v>
      </c>
      <c r="L1014" s="382" t="s">
        <v>21</v>
      </c>
      <c r="M1014" s="30"/>
      <c r="N1014" s="30">
        <v>1181.3</v>
      </c>
      <c r="O1014" s="287">
        <f t="shared" si="341"/>
        <v>0</v>
      </c>
      <c r="P1014" s="287">
        <f t="shared" si="342"/>
        <v>0</v>
      </c>
      <c r="Q1014" s="288"/>
      <c r="R1014" s="243"/>
      <c r="S1014" s="378" t="str">
        <f t="shared" si="339"/>
        <v/>
      </c>
      <c r="U1014" s="722"/>
    </row>
    <row r="1015" spans="2:21" ht="25.5" hidden="1" x14ac:dyDescent="0.2">
      <c r="B1015" s="595">
        <v>101516</v>
      </c>
      <c r="C1015" s="596" t="s">
        <v>817</v>
      </c>
      <c r="D1015" s="597" t="s">
        <v>1104</v>
      </c>
      <c r="E1015" s="589"/>
      <c r="F1015" s="590"/>
      <c r="G1015" s="591"/>
      <c r="H1015" s="592"/>
      <c r="I1015" s="631">
        <v>1058.31</v>
      </c>
      <c r="J1015" s="631">
        <f t="shared" si="344"/>
        <v>1058.31</v>
      </c>
      <c r="K1015" s="593">
        <f t="shared" si="340"/>
        <v>1341.41</v>
      </c>
      <c r="L1015" s="382" t="s">
        <v>21</v>
      </c>
      <c r="M1015" s="30"/>
      <c r="N1015" s="30">
        <v>1341.41</v>
      </c>
      <c r="O1015" s="287">
        <f t="shared" si="341"/>
        <v>0</v>
      </c>
      <c r="P1015" s="287">
        <f t="shared" si="342"/>
        <v>0</v>
      </c>
      <c r="Q1015" s="288"/>
      <c r="R1015" s="243"/>
      <c r="S1015" s="378" t="str">
        <f t="shared" si="339"/>
        <v/>
      </c>
      <c r="U1015" s="722"/>
    </row>
    <row r="1016" spans="2:21" ht="25.5" hidden="1" x14ac:dyDescent="0.2">
      <c r="B1016" s="595">
        <v>101517</v>
      </c>
      <c r="C1016" s="596" t="s">
        <v>817</v>
      </c>
      <c r="D1016" s="597" t="s">
        <v>1105</v>
      </c>
      <c r="E1016" s="589"/>
      <c r="F1016" s="590"/>
      <c r="G1016" s="591"/>
      <c r="H1016" s="592"/>
      <c r="I1016" s="631">
        <v>767.36</v>
      </c>
      <c r="J1016" s="631">
        <f t="shared" si="344"/>
        <v>767.36</v>
      </c>
      <c r="K1016" s="593">
        <f t="shared" si="340"/>
        <v>972.63</v>
      </c>
      <c r="L1016" s="382" t="s">
        <v>21</v>
      </c>
      <c r="M1016" s="30"/>
      <c r="N1016" s="30">
        <v>972.63</v>
      </c>
      <c r="O1016" s="287">
        <f t="shared" si="341"/>
        <v>0</v>
      </c>
      <c r="P1016" s="287">
        <f t="shared" si="342"/>
        <v>0</v>
      </c>
      <c r="Q1016" s="288"/>
      <c r="R1016" s="243"/>
      <c r="S1016" s="378" t="str">
        <f t="shared" si="339"/>
        <v/>
      </c>
      <c r="U1016" s="722"/>
    </row>
    <row r="1017" spans="2:21" ht="25.5" hidden="1" x14ac:dyDescent="0.2">
      <c r="B1017" s="595">
        <v>101518</v>
      </c>
      <c r="C1017" s="596" t="s">
        <v>817</v>
      </c>
      <c r="D1017" s="597" t="s">
        <v>1106</v>
      </c>
      <c r="E1017" s="589"/>
      <c r="F1017" s="590"/>
      <c r="G1017" s="591"/>
      <c r="H1017" s="592"/>
      <c r="I1017" s="631">
        <v>877.98</v>
      </c>
      <c r="J1017" s="631">
        <f t="shared" si="344"/>
        <v>877.98</v>
      </c>
      <c r="K1017" s="593">
        <f t="shared" si="340"/>
        <v>1112.8399999999999</v>
      </c>
      <c r="L1017" s="382" t="s">
        <v>21</v>
      </c>
      <c r="M1017" s="30"/>
      <c r="N1017" s="30">
        <v>1112.8399999999999</v>
      </c>
      <c r="O1017" s="287">
        <f t="shared" si="341"/>
        <v>0</v>
      </c>
      <c r="P1017" s="287">
        <f t="shared" si="342"/>
        <v>0</v>
      </c>
      <c r="Q1017" s="288"/>
      <c r="R1017" s="243"/>
      <c r="S1017" s="378" t="str">
        <f t="shared" si="339"/>
        <v/>
      </c>
      <c r="U1017" s="722"/>
    </row>
    <row r="1018" spans="2:21" ht="25.5" hidden="1" x14ac:dyDescent="0.2">
      <c r="B1018" s="595">
        <v>101519</v>
      </c>
      <c r="C1018" s="596" t="s">
        <v>817</v>
      </c>
      <c r="D1018" s="597" t="s">
        <v>1107</v>
      </c>
      <c r="E1018" s="589"/>
      <c r="F1018" s="590"/>
      <c r="G1018" s="591"/>
      <c r="H1018" s="592"/>
      <c r="I1018" s="631">
        <v>914.81</v>
      </c>
      <c r="J1018" s="631">
        <f t="shared" si="344"/>
        <v>914.81</v>
      </c>
      <c r="K1018" s="593">
        <f t="shared" si="340"/>
        <v>1159.52</v>
      </c>
      <c r="L1018" s="382" t="s">
        <v>21</v>
      </c>
      <c r="M1018" s="30"/>
      <c r="N1018" s="30">
        <v>1159.52</v>
      </c>
      <c r="O1018" s="287">
        <f t="shared" si="341"/>
        <v>0</v>
      </c>
      <c r="P1018" s="287">
        <f t="shared" si="342"/>
        <v>0</v>
      </c>
      <c r="Q1018" s="288"/>
      <c r="R1018" s="243"/>
      <c r="S1018" s="378" t="str">
        <f t="shared" si="339"/>
        <v/>
      </c>
      <c r="U1018" s="722"/>
    </row>
    <row r="1019" spans="2:21" ht="25.5" hidden="1" x14ac:dyDescent="0.2">
      <c r="B1019" s="595">
        <v>101520</v>
      </c>
      <c r="C1019" s="596" t="s">
        <v>817</v>
      </c>
      <c r="D1019" s="597" t="s">
        <v>1108</v>
      </c>
      <c r="E1019" s="589"/>
      <c r="F1019" s="590"/>
      <c r="G1019" s="591"/>
      <c r="H1019" s="592"/>
      <c r="I1019" s="631">
        <v>1041.1300000000001</v>
      </c>
      <c r="J1019" s="631">
        <f t="shared" si="344"/>
        <v>1041.1300000000001</v>
      </c>
      <c r="K1019" s="593">
        <f t="shared" si="340"/>
        <v>1319.63</v>
      </c>
      <c r="L1019" s="382" t="s">
        <v>21</v>
      </c>
      <c r="M1019" s="30"/>
      <c r="N1019" s="30">
        <v>1319.63</v>
      </c>
      <c r="O1019" s="287">
        <f t="shared" si="341"/>
        <v>0</v>
      </c>
      <c r="P1019" s="287">
        <f t="shared" si="342"/>
        <v>0</v>
      </c>
      <c r="Q1019" s="288"/>
      <c r="R1019" s="243"/>
      <c r="S1019" s="378" t="str">
        <f t="shared" si="339"/>
        <v/>
      </c>
      <c r="U1019" s="722"/>
    </row>
    <row r="1020" spans="2:21" ht="25.5" hidden="1" x14ac:dyDescent="0.2">
      <c r="B1020" s="595">
        <v>101521</v>
      </c>
      <c r="C1020" s="596" t="s">
        <v>817</v>
      </c>
      <c r="D1020" s="597" t="s">
        <v>1109</v>
      </c>
      <c r="E1020" s="589"/>
      <c r="F1020" s="590"/>
      <c r="G1020" s="591"/>
      <c r="H1020" s="592"/>
      <c r="I1020" s="631">
        <v>1072.7</v>
      </c>
      <c r="J1020" s="631">
        <f t="shared" si="344"/>
        <v>1072.7</v>
      </c>
      <c r="K1020" s="593">
        <f t="shared" si="340"/>
        <v>1359.65</v>
      </c>
      <c r="L1020" s="382" t="s">
        <v>21</v>
      </c>
      <c r="M1020" s="30"/>
      <c r="N1020" s="30">
        <v>1359.65</v>
      </c>
      <c r="O1020" s="287">
        <f t="shared" si="341"/>
        <v>0</v>
      </c>
      <c r="P1020" s="287">
        <f t="shared" si="342"/>
        <v>0</v>
      </c>
      <c r="Q1020" s="288"/>
      <c r="R1020" s="243"/>
      <c r="S1020" s="378" t="str">
        <f t="shared" si="339"/>
        <v/>
      </c>
      <c r="U1020" s="722"/>
    </row>
    <row r="1021" spans="2:21" ht="25.5" hidden="1" x14ac:dyDescent="0.2">
      <c r="B1021" s="595">
        <v>101522</v>
      </c>
      <c r="C1021" s="596" t="s">
        <v>817</v>
      </c>
      <c r="D1021" s="597" t="s">
        <v>1110</v>
      </c>
      <c r="E1021" s="589"/>
      <c r="F1021" s="590"/>
      <c r="G1021" s="591"/>
      <c r="H1021" s="592"/>
      <c r="I1021" s="631">
        <v>1238.6199999999999</v>
      </c>
      <c r="J1021" s="631">
        <f t="shared" si="344"/>
        <v>1238.6199999999999</v>
      </c>
      <c r="K1021" s="593">
        <f t="shared" si="340"/>
        <v>1569.95</v>
      </c>
      <c r="L1021" s="382" t="s">
        <v>21</v>
      </c>
      <c r="M1021" s="30"/>
      <c r="N1021" s="30">
        <v>1569.95</v>
      </c>
      <c r="O1021" s="287">
        <f t="shared" si="341"/>
        <v>0</v>
      </c>
      <c r="P1021" s="287">
        <f t="shared" si="342"/>
        <v>0</v>
      </c>
      <c r="Q1021" s="288"/>
      <c r="R1021" s="243"/>
      <c r="S1021" s="378" t="str">
        <f t="shared" si="339"/>
        <v/>
      </c>
      <c r="U1021" s="722"/>
    </row>
    <row r="1022" spans="2:21" ht="25.5" hidden="1" x14ac:dyDescent="0.2">
      <c r="B1022" s="595">
        <v>101523</v>
      </c>
      <c r="C1022" s="596" t="s">
        <v>817</v>
      </c>
      <c r="D1022" s="597" t="s">
        <v>1111</v>
      </c>
      <c r="E1022" s="589"/>
      <c r="F1022" s="590"/>
      <c r="G1022" s="591"/>
      <c r="H1022" s="592"/>
      <c r="I1022" s="631">
        <v>1293.8599999999999</v>
      </c>
      <c r="J1022" s="631">
        <f t="shared" si="344"/>
        <v>1293.8599999999999</v>
      </c>
      <c r="K1022" s="593">
        <f t="shared" si="340"/>
        <v>1639.97</v>
      </c>
      <c r="L1022" s="382" t="s">
        <v>21</v>
      </c>
      <c r="M1022" s="30"/>
      <c r="N1022" s="30">
        <v>1639.97</v>
      </c>
      <c r="O1022" s="287">
        <f t="shared" si="341"/>
        <v>0</v>
      </c>
      <c r="P1022" s="287">
        <f t="shared" si="342"/>
        <v>0</v>
      </c>
      <c r="Q1022" s="288"/>
      <c r="R1022" s="243"/>
      <c r="S1022" s="378" t="str">
        <f t="shared" si="339"/>
        <v/>
      </c>
      <c r="U1022" s="722"/>
    </row>
    <row r="1023" spans="2:21" ht="25.5" hidden="1" x14ac:dyDescent="0.2">
      <c r="B1023" s="595">
        <v>101524</v>
      </c>
      <c r="C1023" s="596" t="s">
        <v>817</v>
      </c>
      <c r="D1023" s="597" t="s">
        <v>1112</v>
      </c>
      <c r="E1023" s="589"/>
      <c r="F1023" s="590"/>
      <c r="G1023" s="591"/>
      <c r="H1023" s="592"/>
      <c r="I1023" s="631">
        <v>1483.35</v>
      </c>
      <c r="J1023" s="631">
        <f t="shared" si="344"/>
        <v>1483.35</v>
      </c>
      <c r="K1023" s="593">
        <f t="shared" si="340"/>
        <v>1880.15</v>
      </c>
      <c r="L1023" s="382" t="s">
        <v>21</v>
      </c>
      <c r="M1023" s="30"/>
      <c r="N1023" s="30">
        <v>1880.15</v>
      </c>
      <c r="O1023" s="287">
        <f t="shared" si="341"/>
        <v>0</v>
      </c>
      <c r="P1023" s="287">
        <f t="shared" si="342"/>
        <v>0</v>
      </c>
      <c r="Q1023" s="288"/>
      <c r="R1023" s="243"/>
      <c r="S1023" s="378" t="str">
        <f t="shared" ref="S1023:S1086" si="345">IF(R1023="x","x",IF(R1023="y","x",IF(R1023="xy","x",IF(P1023&gt;0,"x",""))))</f>
        <v/>
      </c>
      <c r="U1023" s="722"/>
    </row>
    <row r="1024" spans="2:21" ht="25.5" hidden="1" x14ac:dyDescent="0.2">
      <c r="B1024" s="595">
        <v>101525</v>
      </c>
      <c r="C1024" s="596" t="s">
        <v>817</v>
      </c>
      <c r="D1024" s="597" t="s">
        <v>1113</v>
      </c>
      <c r="E1024" s="589"/>
      <c r="F1024" s="590"/>
      <c r="G1024" s="591"/>
      <c r="H1024" s="592"/>
      <c r="I1024" s="631">
        <v>1062.42</v>
      </c>
      <c r="J1024" s="631">
        <f t="shared" si="344"/>
        <v>1062.42</v>
      </c>
      <c r="K1024" s="593">
        <f t="shared" si="340"/>
        <v>1346.62</v>
      </c>
      <c r="L1024" s="382" t="s">
        <v>21</v>
      </c>
      <c r="M1024" s="30"/>
      <c r="N1024" s="30">
        <v>1346.62</v>
      </c>
      <c r="O1024" s="287">
        <f t="shared" si="341"/>
        <v>0</v>
      </c>
      <c r="P1024" s="287">
        <f t="shared" si="342"/>
        <v>0</v>
      </c>
      <c r="Q1024" s="288"/>
      <c r="R1024" s="243"/>
      <c r="S1024" s="378" t="str">
        <f t="shared" si="345"/>
        <v/>
      </c>
      <c r="U1024" s="722"/>
    </row>
    <row r="1025" spans="2:21" ht="25.5" hidden="1" x14ac:dyDescent="0.2">
      <c r="B1025" s="595">
        <v>101526</v>
      </c>
      <c r="C1025" s="596" t="s">
        <v>817</v>
      </c>
      <c r="D1025" s="597" t="s">
        <v>1114</v>
      </c>
      <c r="E1025" s="589"/>
      <c r="F1025" s="590"/>
      <c r="G1025" s="591"/>
      <c r="H1025" s="592"/>
      <c r="I1025" s="631">
        <v>1228.3399999999999</v>
      </c>
      <c r="J1025" s="631">
        <f t="shared" si="344"/>
        <v>1228.3399999999999</v>
      </c>
      <c r="K1025" s="593">
        <f t="shared" si="340"/>
        <v>1556.92</v>
      </c>
      <c r="L1025" s="382" t="s">
        <v>21</v>
      </c>
      <c r="M1025" s="30"/>
      <c r="N1025" s="30">
        <v>1556.92</v>
      </c>
      <c r="O1025" s="287">
        <f t="shared" si="341"/>
        <v>0</v>
      </c>
      <c r="P1025" s="287">
        <f t="shared" si="342"/>
        <v>0</v>
      </c>
      <c r="Q1025" s="288"/>
      <c r="R1025" s="243"/>
      <c r="S1025" s="378" t="str">
        <f t="shared" si="345"/>
        <v/>
      </c>
      <c r="U1025" s="722"/>
    </row>
    <row r="1026" spans="2:21" ht="25.5" hidden="1" x14ac:dyDescent="0.2">
      <c r="B1026" s="595">
        <v>101527</v>
      </c>
      <c r="C1026" s="596" t="s">
        <v>817</v>
      </c>
      <c r="D1026" s="597" t="s">
        <v>1115</v>
      </c>
      <c r="E1026" s="589"/>
      <c r="F1026" s="590"/>
      <c r="G1026" s="591"/>
      <c r="H1026" s="592"/>
      <c r="I1026" s="631">
        <v>1283.58</v>
      </c>
      <c r="J1026" s="631">
        <f t="shared" si="344"/>
        <v>1283.58</v>
      </c>
      <c r="K1026" s="593">
        <f t="shared" si="340"/>
        <v>1626.94</v>
      </c>
      <c r="L1026" s="382" t="s">
        <v>21</v>
      </c>
      <c r="M1026" s="30"/>
      <c r="N1026" s="30">
        <v>1626.94</v>
      </c>
      <c r="O1026" s="287">
        <f t="shared" si="341"/>
        <v>0</v>
      </c>
      <c r="P1026" s="287">
        <f t="shared" si="342"/>
        <v>0</v>
      </c>
      <c r="Q1026" s="288"/>
      <c r="R1026" s="243"/>
      <c r="S1026" s="378" t="str">
        <f t="shared" si="345"/>
        <v/>
      </c>
      <c r="U1026" s="722"/>
    </row>
    <row r="1027" spans="2:21" ht="25.5" hidden="1" x14ac:dyDescent="0.2">
      <c r="B1027" s="595">
        <v>101528</v>
      </c>
      <c r="C1027" s="596" t="s">
        <v>817</v>
      </c>
      <c r="D1027" s="597" t="s">
        <v>1116</v>
      </c>
      <c r="E1027" s="589"/>
      <c r="F1027" s="590"/>
      <c r="G1027" s="591"/>
      <c r="H1027" s="592"/>
      <c r="I1027" s="631">
        <v>1473.07</v>
      </c>
      <c r="J1027" s="631">
        <f t="shared" si="344"/>
        <v>1473.07</v>
      </c>
      <c r="K1027" s="593">
        <f t="shared" si="340"/>
        <v>1867.12</v>
      </c>
      <c r="L1027" s="382" t="s">
        <v>21</v>
      </c>
      <c r="M1027" s="30"/>
      <c r="N1027" s="30">
        <v>1867.12</v>
      </c>
      <c r="O1027" s="287">
        <f t="shared" si="341"/>
        <v>0</v>
      </c>
      <c r="P1027" s="287">
        <f t="shared" si="342"/>
        <v>0</v>
      </c>
      <c r="Q1027" s="288"/>
      <c r="R1027" s="243"/>
      <c r="S1027" s="378" t="str">
        <f t="shared" si="345"/>
        <v/>
      </c>
      <c r="U1027" s="722"/>
    </row>
    <row r="1028" spans="2:21" ht="25.5" hidden="1" x14ac:dyDescent="0.2">
      <c r="B1028" s="595">
        <v>101529</v>
      </c>
      <c r="C1028" s="596" t="s">
        <v>817</v>
      </c>
      <c r="D1028" s="597" t="s">
        <v>1117</v>
      </c>
      <c r="E1028" s="589"/>
      <c r="F1028" s="590"/>
      <c r="G1028" s="591"/>
      <c r="H1028" s="592"/>
      <c r="I1028" s="631">
        <v>1203.92</v>
      </c>
      <c r="J1028" s="631">
        <f t="shared" si="344"/>
        <v>1203.92</v>
      </c>
      <c r="K1028" s="593">
        <f t="shared" si="340"/>
        <v>1525.97</v>
      </c>
      <c r="L1028" s="382" t="s">
        <v>21</v>
      </c>
      <c r="M1028" s="30"/>
      <c r="N1028" s="30">
        <v>1525.97</v>
      </c>
      <c r="O1028" s="287">
        <f t="shared" si="341"/>
        <v>0</v>
      </c>
      <c r="P1028" s="287">
        <f t="shared" si="342"/>
        <v>0</v>
      </c>
      <c r="Q1028" s="288"/>
      <c r="R1028" s="243"/>
      <c r="S1028" s="378" t="str">
        <f t="shared" si="345"/>
        <v/>
      </c>
      <c r="U1028" s="722"/>
    </row>
    <row r="1029" spans="2:21" ht="25.5" hidden="1" x14ac:dyDescent="0.2">
      <c r="B1029" s="595">
        <v>101530</v>
      </c>
      <c r="C1029" s="596" t="s">
        <v>817</v>
      </c>
      <c r="D1029" s="597" t="s">
        <v>1118</v>
      </c>
      <c r="E1029" s="589"/>
      <c r="F1029" s="590"/>
      <c r="G1029" s="591"/>
      <c r="H1029" s="592"/>
      <c r="I1029" s="631">
        <v>1425.15</v>
      </c>
      <c r="J1029" s="631">
        <f t="shared" si="344"/>
        <v>1425.15</v>
      </c>
      <c r="K1029" s="593">
        <f t="shared" si="340"/>
        <v>1806.38</v>
      </c>
      <c r="L1029" s="382" t="s">
        <v>21</v>
      </c>
      <c r="M1029" s="30"/>
      <c r="N1029" s="30">
        <v>1806.38</v>
      </c>
      <c r="O1029" s="287">
        <f t="shared" si="341"/>
        <v>0</v>
      </c>
      <c r="P1029" s="287">
        <f t="shared" si="342"/>
        <v>0</v>
      </c>
      <c r="Q1029" s="288"/>
      <c r="R1029" s="243"/>
      <c r="S1029" s="378" t="str">
        <f t="shared" si="345"/>
        <v/>
      </c>
      <c r="U1029" s="722"/>
    </row>
    <row r="1030" spans="2:21" ht="25.5" hidden="1" x14ac:dyDescent="0.2">
      <c r="B1030" s="595">
        <v>101531</v>
      </c>
      <c r="C1030" s="596" t="s">
        <v>817</v>
      </c>
      <c r="D1030" s="597" t="s">
        <v>1119</v>
      </c>
      <c r="E1030" s="589"/>
      <c r="F1030" s="590"/>
      <c r="G1030" s="591"/>
      <c r="H1030" s="592"/>
      <c r="I1030" s="631">
        <v>1498.81</v>
      </c>
      <c r="J1030" s="631">
        <f t="shared" si="344"/>
        <v>1498.81</v>
      </c>
      <c r="K1030" s="593">
        <f t="shared" ref="K1030:K1093" si="346">IF(ISBLANK(I1030),0,ROUND(J1030*(1+$F$10)*(1+$F$11*E1030),2))</f>
        <v>1899.74</v>
      </c>
      <c r="L1030" s="382" t="s">
        <v>21</v>
      </c>
      <c r="M1030" s="30"/>
      <c r="N1030" s="30">
        <v>1899.74</v>
      </c>
      <c r="O1030" s="287">
        <f t="shared" ref="O1030:O1093" si="347">IF(ISBLANK(M1030),0,ROUND(K1030*M1030,2))</f>
        <v>0</v>
      </c>
      <c r="P1030" s="287">
        <f t="shared" ref="P1030:P1093" si="348">IF(ISBLANK(N1030),0,ROUND(M1030*N1030,2))</f>
        <v>0</v>
      </c>
      <c r="Q1030" s="288"/>
      <c r="R1030" s="243"/>
      <c r="S1030" s="378" t="str">
        <f t="shared" si="345"/>
        <v/>
      </c>
      <c r="U1030" s="722"/>
    </row>
    <row r="1031" spans="2:21" ht="25.5" hidden="1" x14ac:dyDescent="0.2">
      <c r="B1031" s="595">
        <v>101532</v>
      </c>
      <c r="C1031" s="596" t="s">
        <v>817</v>
      </c>
      <c r="D1031" s="597" t="s">
        <v>1120</v>
      </c>
      <c r="E1031" s="589"/>
      <c r="F1031" s="590"/>
      <c r="G1031" s="591"/>
      <c r="H1031" s="592"/>
      <c r="I1031" s="631">
        <v>1751.46</v>
      </c>
      <c r="J1031" s="631">
        <f t="shared" si="344"/>
        <v>1751.46</v>
      </c>
      <c r="K1031" s="593">
        <f t="shared" si="346"/>
        <v>2219.98</v>
      </c>
      <c r="L1031" s="382" t="s">
        <v>21</v>
      </c>
      <c r="M1031" s="30"/>
      <c r="N1031" s="30">
        <v>2219.98</v>
      </c>
      <c r="O1031" s="287">
        <f t="shared" si="347"/>
        <v>0</v>
      </c>
      <c r="P1031" s="287">
        <f t="shared" si="348"/>
        <v>0</v>
      </c>
      <c r="Q1031" s="288"/>
      <c r="R1031" s="243"/>
      <c r="S1031" s="378" t="str">
        <f t="shared" si="345"/>
        <v/>
      </c>
      <c r="U1031" s="722"/>
    </row>
    <row r="1032" spans="2:21" ht="25.5" hidden="1" x14ac:dyDescent="0.2">
      <c r="B1032" s="595">
        <v>101533</v>
      </c>
      <c r="C1032" s="596" t="s">
        <v>817</v>
      </c>
      <c r="D1032" s="597" t="s">
        <v>1121</v>
      </c>
      <c r="E1032" s="589"/>
      <c r="F1032" s="590"/>
      <c r="G1032" s="591"/>
      <c r="H1032" s="592"/>
      <c r="I1032" s="631">
        <v>1319.56</v>
      </c>
      <c r="J1032" s="631">
        <f t="shared" si="344"/>
        <v>1319.56</v>
      </c>
      <c r="K1032" s="593">
        <f t="shared" si="346"/>
        <v>1672.54</v>
      </c>
      <c r="L1032" s="382" t="s">
        <v>21</v>
      </c>
      <c r="M1032" s="30"/>
      <c r="N1032" s="30">
        <v>1672.54</v>
      </c>
      <c r="O1032" s="287">
        <f t="shared" si="347"/>
        <v>0</v>
      </c>
      <c r="P1032" s="287">
        <f t="shared" si="348"/>
        <v>0</v>
      </c>
      <c r="Q1032" s="288"/>
      <c r="R1032" s="243"/>
      <c r="S1032" s="378" t="str">
        <f t="shared" si="345"/>
        <v/>
      </c>
      <c r="U1032" s="722"/>
    </row>
    <row r="1033" spans="2:21" ht="25.5" hidden="1" x14ac:dyDescent="0.2">
      <c r="B1033" s="595">
        <v>101534</v>
      </c>
      <c r="C1033" s="596" t="s">
        <v>817</v>
      </c>
      <c r="D1033" s="597" t="s">
        <v>1122</v>
      </c>
      <c r="E1033" s="589"/>
      <c r="F1033" s="590"/>
      <c r="G1033" s="591"/>
      <c r="H1033" s="592"/>
      <c r="I1033" s="631">
        <v>1540.79</v>
      </c>
      <c r="J1033" s="631">
        <f t="shared" si="344"/>
        <v>1540.79</v>
      </c>
      <c r="K1033" s="593">
        <f t="shared" si="346"/>
        <v>1952.95</v>
      </c>
      <c r="L1033" s="382" t="s">
        <v>21</v>
      </c>
      <c r="M1033" s="30"/>
      <c r="N1033" s="30">
        <v>1952.95</v>
      </c>
      <c r="O1033" s="287">
        <f t="shared" si="347"/>
        <v>0</v>
      </c>
      <c r="P1033" s="287">
        <f t="shared" si="348"/>
        <v>0</v>
      </c>
      <c r="Q1033" s="288"/>
      <c r="R1033" s="243"/>
      <c r="S1033" s="378" t="str">
        <f t="shared" si="345"/>
        <v/>
      </c>
      <c r="U1033" s="722"/>
    </row>
    <row r="1034" spans="2:21" ht="25.5" hidden="1" x14ac:dyDescent="0.2">
      <c r="B1034" s="595">
        <v>101535</v>
      </c>
      <c r="C1034" s="596" t="s">
        <v>817</v>
      </c>
      <c r="D1034" s="597" t="s">
        <v>1123</v>
      </c>
      <c r="E1034" s="589"/>
      <c r="F1034" s="590"/>
      <c r="G1034" s="591"/>
      <c r="H1034" s="592"/>
      <c r="I1034" s="631">
        <v>1614.45</v>
      </c>
      <c r="J1034" s="631">
        <f t="shared" si="344"/>
        <v>1614.45</v>
      </c>
      <c r="K1034" s="593">
        <f t="shared" si="346"/>
        <v>2046.32</v>
      </c>
      <c r="L1034" s="382" t="s">
        <v>21</v>
      </c>
      <c r="M1034" s="30"/>
      <c r="N1034" s="30">
        <v>2046.32</v>
      </c>
      <c r="O1034" s="287">
        <f t="shared" si="347"/>
        <v>0</v>
      </c>
      <c r="P1034" s="287">
        <f t="shared" si="348"/>
        <v>0</v>
      </c>
      <c r="Q1034" s="288"/>
      <c r="R1034" s="243"/>
      <c r="S1034" s="378" t="str">
        <f t="shared" si="345"/>
        <v/>
      </c>
      <c r="U1034" s="722"/>
    </row>
    <row r="1035" spans="2:21" ht="25.5" hidden="1" x14ac:dyDescent="0.2">
      <c r="B1035" s="595">
        <v>101536</v>
      </c>
      <c r="C1035" s="596" t="s">
        <v>817</v>
      </c>
      <c r="D1035" s="597" t="s">
        <v>1124</v>
      </c>
      <c r="E1035" s="589"/>
      <c r="F1035" s="590"/>
      <c r="G1035" s="591"/>
      <c r="H1035" s="592"/>
      <c r="I1035" s="631">
        <v>1867.1</v>
      </c>
      <c r="J1035" s="631">
        <f t="shared" si="344"/>
        <v>1867.1</v>
      </c>
      <c r="K1035" s="593">
        <f t="shared" si="346"/>
        <v>2366.5500000000002</v>
      </c>
      <c r="L1035" s="382" t="s">
        <v>21</v>
      </c>
      <c r="M1035" s="30"/>
      <c r="N1035" s="30">
        <v>2366.5500000000002</v>
      </c>
      <c r="O1035" s="287">
        <f t="shared" si="347"/>
        <v>0</v>
      </c>
      <c r="P1035" s="287">
        <f t="shared" si="348"/>
        <v>0</v>
      </c>
      <c r="Q1035" s="288"/>
      <c r="R1035" s="243"/>
      <c r="S1035" s="378" t="str">
        <f t="shared" si="345"/>
        <v/>
      </c>
      <c r="U1035" s="722"/>
    </row>
    <row r="1036" spans="2:21" ht="25.5" hidden="1" x14ac:dyDescent="0.2">
      <c r="B1036" s="595" t="s">
        <v>1125</v>
      </c>
      <c r="C1036" s="596" t="s">
        <v>1126</v>
      </c>
      <c r="D1036" s="597" t="s">
        <v>1122</v>
      </c>
      <c r="E1036" s="589"/>
      <c r="F1036" s="590"/>
      <c r="G1036" s="591"/>
      <c r="H1036" s="592"/>
      <c r="I1036" s="631">
        <v>1724.04</v>
      </c>
      <c r="J1036" s="631">
        <f t="shared" si="344"/>
        <v>1724.04</v>
      </c>
      <c r="K1036" s="593">
        <f t="shared" si="346"/>
        <v>2185.2199999999998</v>
      </c>
      <c r="L1036" s="382" t="s">
        <v>21</v>
      </c>
      <c r="M1036" s="30"/>
      <c r="N1036" s="30">
        <v>2185.2199999999998</v>
      </c>
      <c r="O1036" s="287">
        <f t="shared" si="347"/>
        <v>0</v>
      </c>
      <c r="P1036" s="287">
        <f t="shared" si="348"/>
        <v>0</v>
      </c>
      <c r="Q1036" s="288"/>
      <c r="R1036" s="243"/>
      <c r="S1036" s="378" t="str">
        <f t="shared" si="345"/>
        <v/>
      </c>
      <c r="U1036" s="722"/>
    </row>
    <row r="1037" spans="2:21" ht="25.5" hidden="1" x14ac:dyDescent="0.2">
      <c r="B1037" s="595" t="s">
        <v>1127</v>
      </c>
      <c r="C1037" s="596" t="s">
        <v>1126</v>
      </c>
      <c r="D1037" s="597" t="s">
        <v>1123</v>
      </c>
      <c r="E1037" s="589"/>
      <c r="F1037" s="590"/>
      <c r="G1037" s="591"/>
      <c r="H1037" s="592"/>
      <c r="I1037" s="631">
        <v>1885.63</v>
      </c>
      <c r="J1037" s="631">
        <f t="shared" si="344"/>
        <v>1885.63</v>
      </c>
      <c r="K1037" s="593">
        <f t="shared" si="346"/>
        <v>2390.04</v>
      </c>
      <c r="L1037" s="382" t="s">
        <v>21</v>
      </c>
      <c r="M1037" s="30"/>
      <c r="N1037" s="30">
        <v>2390.04</v>
      </c>
      <c r="O1037" s="287">
        <f t="shared" si="347"/>
        <v>0</v>
      </c>
      <c r="P1037" s="287">
        <f t="shared" si="348"/>
        <v>0</v>
      </c>
      <c r="Q1037" s="288"/>
      <c r="R1037" s="243"/>
      <c r="S1037" s="378" t="str">
        <f t="shared" si="345"/>
        <v/>
      </c>
      <c r="U1037" s="722"/>
    </row>
    <row r="1038" spans="2:21" ht="25.5" hidden="1" x14ac:dyDescent="0.2">
      <c r="B1038" s="595" t="s">
        <v>1128</v>
      </c>
      <c r="C1038" s="596" t="s">
        <v>1126</v>
      </c>
      <c r="D1038" s="597" t="s">
        <v>1124</v>
      </c>
      <c r="E1038" s="589"/>
      <c r="F1038" s="590"/>
      <c r="G1038" s="591"/>
      <c r="H1038" s="592"/>
      <c r="I1038" s="631">
        <v>2193.96</v>
      </c>
      <c r="J1038" s="631">
        <f t="shared" si="344"/>
        <v>2193.96</v>
      </c>
      <c r="K1038" s="593">
        <f t="shared" si="346"/>
        <v>2780.84</v>
      </c>
      <c r="L1038" s="382" t="s">
        <v>21</v>
      </c>
      <c r="M1038" s="30"/>
      <c r="N1038" s="30">
        <v>2780.84</v>
      </c>
      <c r="O1038" s="287">
        <f t="shared" si="347"/>
        <v>0</v>
      </c>
      <c r="P1038" s="287">
        <f t="shared" si="348"/>
        <v>0</v>
      </c>
      <c r="Q1038" s="288"/>
      <c r="R1038" s="243"/>
      <c r="S1038" s="378" t="str">
        <f t="shared" si="345"/>
        <v/>
      </c>
      <c r="U1038" s="722"/>
    </row>
    <row r="1039" spans="2:21" hidden="1" x14ac:dyDescent="0.2">
      <c r="B1039" s="595" t="s">
        <v>1129</v>
      </c>
      <c r="C1039" s="596" t="s">
        <v>1126</v>
      </c>
      <c r="D1039" s="597" t="s">
        <v>1130</v>
      </c>
      <c r="E1039" s="589"/>
      <c r="F1039" s="590"/>
      <c r="G1039" s="591"/>
      <c r="H1039" s="592"/>
      <c r="I1039" s="631">
        <v>2469.5</v>
      </c>
      <c r="J1039" s="631">
        <f t="shared" si="344"/>
        <v>2469.5</v>
      </c>
      <c r="K1039" s="593">
        <f t="shared" si="346"/>
        <v>3130.09</v>
      </c>
      <c r="L1039" s="382" t="s">
        <v>21</v>
      </c>
      <c r="M1039" s="30"/>
      <c r="N1039" s="30">
        <v>3130.09</v>
      </c>
      <c r="O1039" s="287">
        <f t="shared" si="347"/>
        <v>0</v>
      </c>
      <c r="P1039" s="287">
        <f t="shared" si="348"/>
        <v>0</v>
      </c>
      <c r="Q1039" s="288"/>
      <c r="R1039" s="243"/>
      <c r="S1039" s="378" t="str">
        <f t="shared" si="345"/>
        <v/>
      </c>
      <c r="U1039" s="722"/>
    </row>
    <row r="1040" spans="2:21" hidden="1" x14ac:dyDescent="0.2">
      <c r="B1040" s="595" t="s">
        <v>1131</v>
      </c>
      <c r="C1040" s="596" t="s">
        <v>1126</v>
      </c>
      <c r="D1040" s="597" t="s">
        <v>1132</v>
      </c>
      <c r="E1040" s="589"/>
      <c r="F1040" s="590"/>
      <c r="G1040" s="591"/>
      <c r="H1040" s="592"/>
      <c r="I1040" s="631">
        <v>3665.37</v>
      </c>
      <c r="J1040" s="631">
        <f t="shared" si="344"/>
        <v>3665.37</v>
      </c>
      <c r="K1040" s="593">
        <f t="shared" si="346"/>
        <v>4645.8599999999997</v>
      </c>
      <c r="L1040" s="382" t="s">
        <v>21</v>
      </c>
      <c r="M1040" s="30"/>
      <c r="N1040" s="30">
        <v>4645.8599999999997</v>
      </c>
      <c r="O1040" s="287">
        <f t="shared" si="347"/>
        <v>0</v>
      </c>
      <c r="P1040" s="287">
        <f t="shared" si="348"/>
        <v>0</v>
      </c>
      <c r="Q1040" s="288"/>
      <c r="R1040" s="243"/>
      <c r="S1040" s="378" t="str">
        <f t="shared" si="345"/>
        <v/>
      </c>
      <c r="U1040" s="722"/>
    </row>
    <row r="1041" spans="2:21" hidden="1" x14ac:dyDescent="0.2">
      <c r="B1041" s="595" t="s">
        <v>1133</v>
      </c>
      <c r="C1041" s="596" t="s">
        <v>1126</v>
      </c>
      <c r="D1041" s="597" t="s">
        <v>1134</v>
      </c>
      <c r="E1041" s="589"/>
      <c r="F1041" s="590"/>
      <c r="G1041" s="591"/>
      <c r="H1041" s="592"/>
      <c r="I1041" s="631">
        <v>4606.5</v>
      </c>
      <c r="J1041" s="631">
        <f t="shared" si="344"/>
        <v>4606.5</v>
      </c>
      <c r="K1041" s="593">
        <f t="shared" si="346"/>
        <v>5838.74</v>
      </c>
      <c r="L1041" s="382" t="s">
        <v>21</v>
      </c>
      <c r="M1041" s="30"/>
      <c r="N1041" s="30">
        <v>5838.74</v>
      </c>
      <c r="O1041" s="287">
        <f t="shared" si="347"/>
        <v>0</v>
      </c>
      <c r="P1041" s="287">
        <f t="shared" si="348"/>
        <v>0</v>
      </c>
      <c r="Q1041" s="288"/>
      <c r="R1041" s="243"/>
      <c r="S1041" s="378" t="str">
        <f t="shared" si="345"/>
        <v/>
      </c>
      <c r="U1041" s="722"/>
    </row>
    <row r="1042" spans="2:21" hidden="1" x14ac:dyDescent="0.2">
      <c r="B1042" s="595">
        <v>96984</v>
      </c>
      <c r="C1042" s="596" t="s">
        <v>817</v>
      </c>
      <c r="D1042" s="597" t="s">
        <v>1135</v>
      </c>
      <c r="E1042" s="589"/>
      <c r="F1042" s="590"/>
      <c r="G1042" s="591"/>
      <c r="H1042" s="592"/>
      <c r="I1042" s="631">
        <v>64.930000000000007</v>
      </c>
      <c r="J1042" s="631">
        <f t="shared" si="344"/>
        <v>64.930000000000007</v>
      </c>
      <c r="K1042" s="593">
        <f t="shared" si="346"/>
        <v>82.3</v>
      </c>
      <c r="L1042" s="382" t="s">
        <v>21</v>
      </c>
      <c r="M1042" s="30"/>
      <c r="N1042" s="30">
        <v>82.3</v>
      </c>
      <c r="O1042" s="287">
        <f t="shared" si="347"/>
        <v>0</v>
      </c>
      <c r="P1042" s="287">
        <f t="shared" si="348"/>
        <v>0</v>
      </c>
      <c r="Q1042" s="288"/>
      <c r="R1042" s="243"/>
      <c r="S1042" s="378" t="str">
        <f t="shared" si="345"/>
        <v/>
      </c>
      <c r="U1042" s="722"/>
    </row>
    <row r="1043" spans="2:21" ht="25.5" hidden="1" x14ac:dyDescent="0.2">
      <c r="B1043" s="595">
        <v>91831</v>
      </c>
      <c r="C1043" s="596" t="s">
        <v>817</v>
      </c>
      <c r="D1043" s="597" t="s">
        <v>1136</v>
      </c>
      <c r="E1043" s="589"/>
      <c r="F1043" s="590"/>
      <c r="G1043" s="591"/>
      <c r="H1043" s="592"/>
      <c r="I1043" s="631">
        <v>8.92</v>
      </c>
      <c r="J1043" s="631">
        <f t="shared" si="344"/>
        <v>8.92</v>
      </c>
      <c r="K1043" s="593">
        <f t="shared" si="346"/>
        <v>11.31</v>
      </c>
      <c r="L1043" s="382" t="s">
        <v>19</v>
      </c>
      <c r="M1043" s="30"/>
      <c r="N1043" s="30">
        <v>11.31</v>
      </c>
      <c r="O1043" s="287">
        <f t="shared" si="347"/>
        <v>0</v>
      </c>
      <c r="P1043" s="287">
        <f t="shared" si="348"/>
        <v>0</v>
      </c>
      <c r="Q1043" s="288"/>
      <c r="R1043" s="243"/>
      <c r="S1043" s="378" t="str">
        <f t="shared" si="345"/>
        <v/>
      </c>
      <c r="U1043" s="722"/>
    </row>
    <row r="1044" spans="2:21" ht="25.5" hidden="1" x14ac:dyDescent="0.2">
      <c r="B1044" s="595">
        <v>91834</v>
      </c>
      <c r="C1044" s="596" t="s">
        <v>817</v>
      </c>
      <c r="D1044" s="597" t="s">
        <v>1137</v>
      </c>
      <c r="E1044" s="589"/>
      <c r="F1044" s="590"/>
      <c r="G1044" s="591"/>
      <c r="H1044" s="592"/>
      <c r="I1044" s="631">
        <v>9.93</v>
      </c>
      <c r="J1044" s="631">
        <f t="shared" si="344"/>
        <v>9.93</v>
      </c>
      <c r="K1044" s="593">
        <f t="shared" si="346"/>
        <v>12.59</v>
      </c>
      <c r="L1044" s="382" t="s">
        <v>19</v>
      </c>
      <c r="M1044" s="30"/>
      <c r="N1044" s="30">
        <v>12.59</v>
      </c>
      <c r="O1044" s="287">
        <f t="shared" si="347"/>
        <v>0</v>
      </c>
      <c r="P1044" s="287">
        <f t="shared" si="348"/>
        <v>0</v>
      </c>
      <c r="Q1044" s="288"/>
      <c r="R1044" s="243"/>
      <c r="S1044" s="378" t="str">
        <f t="shared" si="345"/>
        <v/>
      </c>
      <c r="U1044" s="722"/>
    </row>
    <row r="1045" spans="2:21" ht="25.5" hidden="1" x14ac:dyDescent="0.2">
      <c r="B1045" s="595">
        <v>91836</v>
      </c>
      <c r="C1045" s="596" t="s">
        <v>817</v>
      </c>
      <c r="D1045" s="597" t="s">
        <v>1138</v>
      </c>
      <c r="E1045" s="589"/>
      <c r="F1045" s="590"/>
      <c r="G1045" s="591"/>
      <c r="H1045" s="592"/>
      <c r="I1045" s="631">
        <v>13.31</v>
      </c>
      <c r="J1045" s="631">
        <f t="shared" si="344"/>
        <v>13.31</v>
      </c>
      <c r="K1045" s="593">
        <f t="shared" si="346"/>
        <v>16.87</v>
      </c>
      <c r="L1045" s="382" t="s">
        <v>19</v>
      </c>
      <c r="M1045" s="30"/>
      <c r="N1045" s="30">
        <v>16.87</v>
      </c>
      <c r="O1045" s="287">
        <f t="shared" si="347"/>
        <v>0</v>
      </c>
      <c r="P1045" s="287">
        <f t="shared" si="348"/>
        <v>0</v>
      </c>
      <c r="Q1045" s="288"/>
      <c r="R1045" s="243"/>
      <c r="S1045" s="378" t="str">
        <f t="shared" si="345"/>
        <v/>
      </c>
      <c r="U1045" s="722"/>
    </row>
    <row r="1046" spans="2:21" ht="25.5" hidden="1" x14ac:dyDescent="0.2">
      <c r="B1046" s="595">
        <v>91842</v>
      </c>
      <c r="C1046" s="596" t="s">
        <v>817</v>
      </c>
      <c r="D1046" s="597" t="s">
        <v>1139</v>
      </c>
      <c r="E1046" s="589"/>
      <c r="F1046" s="590"/>
      <c r="G1046" s="591"/>
      <c r="H1046" s="592"/>
      <c r="I1046" s="631">
        <v>6.72</v>
      </c>
      <c r="J1046" s="631">
        <f t="shared" si="344"/>
        <v>6.72</v>
      </c>
      <c r="K1046" s="593">
        <f t="shared" si="346"/>
        <v>8.52</v>
      </c>
      <c r="L1046" s="382" t="s">
        <v>19</v>
      </c>
      <c r="M1046" s="30"/>
      <c r="N1046" s="30">
        <v>8.52</v>
      </c>
      <c r="O1046" s="287">
        <f t="shared" si="347"/>
        <v>0</v>
      </c>
      <c r="P1046" s="287">
        <f t="shared" si="348"/>
        <v>0</v>
      </c>
      <c r="Q1046" s="288"/>
      <c r="R1046" s="243"/>
      <c r="S1046" s="378" t="str">
        <f t="shared" si="345"/>
        <v/>
      </c>
      <c r="U1046" s="722"/>
    </row>
    <row r="1047" spans="2:21" ht="25.5" hidden="1" x14ac:dyDescent="0.2">
      <c r="B1047" s="595">
        <v>91844</v>
      </c>
      <c r="C1047" s="596" t="s">
        <v>817</v>
      </c>
      <c r="D1047" s="597" t="s">
        <v>1140</v>
      </c>
      <c r="E1047" s="589"/>
      <c r="F1047" s="590"/>
      <c r="G1047" s="591"/>
      <c r="H1047" s="592"/>
      <c r="I1047" s="631">
        <v>7.74</v>
      </c>
      <c r="J1047" s="631">
        <f t="shared" si="344"/>
        <v>7.74</v>
      </c>
      <c r="K1047" s="593">
        <f t="shared" si="346"/>
        <v>9.81</v>
      </c>
      <c r="L1047" s="382" t="s">
        <v>19</v>
      </c>
      <c r="M1047" s="30"/>
      <c r="N1047" s="30">
        <v>9.81</v>
      </c>
      <c r="O1047" s="287">
        <f t="shared" si="347"/>
        <v>0</v>
      </c>
      <c r="P1047" s="287">
        <f t="shared" si="348"/>
        <v>0</v>
      </c>
      <c r="Q1047" s="288"/>
      <c r="R1047" s="243"/>
      <c r="S1047" s="378" t="str">
        <f t="shared" si="345"/>
        <v/>
      </c>
      <c r="U1047" s="722"/>
    </row>
    <row r="1048" spans="2:21" ht="25.5" hidden="1" x14ac:dyDescent="0.2">
      <c r="B1048" s="595">
        <v>91846</v>
      </c>
      <c r="C1048" s="596" t="s">
        <v>817</v>
      </c>
      <c r="D1048" s="597" t="s">
        <v>1141</v>
      </c>
      <c r="E1048" s="589"/>
      <c r="F1048" s="590"/>
      <c r="G1048" s="591"/>
      <c r="H1048" s="592"/>
      <c r="I1048" s="631">
        <v>11.1</v>
      </c>
      <c r="J1048" s="631">
        <f t="shared" si="344"/>
        <v>11.1</v>
      </c>
      <c r="K1048" s="593">
        <f t="shared" si="346"/>
        <v>14.07</v>
      </c>
      <c r="L1048" s="382" t="s">
        <v>19</v>
      </c>
      <c r="M1048" s="30"/>
      <c r="N1048" s="30">
        <v>14.07</v>
      </c>
      <c r="O1048" s="287">
        <f t="shared" si="347"/>
        <v>0</v>
      </c>
      <c r="P1048" s="287">
        <f t="shared" si="348"/>
        <v>0</v>
      </c>
      <c r="Q1048" s="288"/>
      <c r="R1048" s="243"/>
      <c r="S1048" s="378" t="str">
        <f t="shared" si="345"/>
        <v/>
      </c>
      <c r="U1048" s="722"/>
    </row>
    <row r="1049" spans="2:21" ht="25.5" hidden="1" x14ac:dyDescent="0.2">
      <c r="B1049" s="595">
        <v>91852</v>
      </c>
      <c r="C1049" s="596" t="s">
        <v>817</v>
      </c>
      <c r="D1049" s="597" t="s">
        <v>1142</v>
      </c>
      <c r="E1049" s="589"/>
      <c r="F1049" s="590"/>
      <c r="G1049" s="591"/>
      <c r="H1049" s="592"/>
      <c r="I1049" s="631">
        <v>9.34</v>
      </c>
      <c r="J1049" s="631">
        <f t="shared" si="344"/>
        <v>9.34</v>
      </c>
      <c r="K1049" s="593">
        <f t="shared" si="346"/>
        <v>11.84</v>
      </c>
      <c r="L1049" s="382" t="s">
        <v>19</v>
      </c>
      <c r="M1049" s="30"/>
      <c r="N1049" s="30">
        <v>11.84</v>
      </c>
      <c r="O1049" s="287">
        <f t="shared" si="347"/>
        <v>0</v>
      </c>
      <c r="P1049" s="287">
        <f t="shared" si="348"/>
        <v>0</v>
      </c>
      <c r="Q1049" s="288"/>
      <c r="R1049" s="243"/>
      <c r="S1049" s="378" t="str">
        <f t="shared" si="345"/>
        <v/>
      </c>
      <c r="U1049" s="722"/>
    </row>
    <row r="1050" spans="2:21" ht="25.5" hidden="1" x14ac:dyDescent="0.2">
      <c r="B1050" s="595">
        <v>91854</v>
      </c>
      <c r="C1050" s="596" t="s">
        <v>817</v>
      </c>
      <c r="D1050" s="597" t="s">
        <v>1143</v>
      </c>
      <c r="E1050" s="589"/>
      <c r="F1050" s="590"/>
      <c r="G1050" s="591"/>
      <c r="H1050" s="592"/>
      <c r="I1050" s="631">
        <v>10.34</v>
      </c>
      <c r="J1050" s="631">
        <f t="shared" si="344"/>
        <v>10.34</v>
      </c>
      <c r="K1050" s="593">
        <f t="shared" si="346"/>
        <v>13.11</v>
      </c>
      <c r="L1050" s="382" t="s">
        <v>19</v>
      </c>
      <c r="M1050" s="30"/>
      <c r="N1050" s="30">
        <v>13.11</v>
      </c>
      <c r="O1050" s="287">
        <f t="shared" si="347"/>
        <v>0</v>
      </c>
      <c r="P1050" s="287">
        <f t="shared" si="348"/>
        <v>0</v>
      </c>
      <c r="Q1050" s="288"/>
      <c r="R1050" s="243"/>
      <c r="S1050" s="378" t="str">
        <f t="shared" si="345"/>
        <v/>
      </c>
      <c r="U1050" s="722"/>
    </row>
    <row r="1051" spans="2:21" ht="25.5" hidden="1" x14ac:dyDescent="0.2">
      <c r="B1051" s="595">
        <v>91856</v>
      </c>
      <c r="C1051" s="596" t="s">
        <v>817</v>
      </c>
      <c r="D1051" s="597" t="s">
        <v>1144</v>
      </c>
      <c r="E1051" s="589"/>
      <c r="F1051" s="590"/>
      <c r="G1051" s="591"/>
      <c r="H1051" s="592"/>
      <c r="I1051" s="631">
        <v>13.53</v>
      </c>
      <c r="J1051" s="631">
        <f t="shared" si="344"/>
        <v>13.53</v>
      </c>
      <c r="K1051" s="593">
        <f t="shared" si="346"/>
        <v>17.149999999999999</v>
      </c>
      <c r="L1051" s="382" t="s">
        <v>19</v>
      </c>
      <c r="M1051" s="30"/>
      <c r="N1051" s="30">
        <v>17.149999999999999</v>
      </c>
      <c r="O1051" s="287">
        <f t="shared" si="347"/>
        <v>0</v>
      </c>
      <c r="P1051" s="287">
        <f t="shared" si="348"/>
        <v>0</v>
      </c>
      <c r="Q1051" s="288"/>
      <c r="R1051" s="243"/>
      <c r="S1051" s="378" t="str">
        <f t="shared" si="345"/>
        <v/>
      </c>
      <c r="U1051" s="722"/>
    </row>
    <row r="1052" spans="2:21" ht="25.5" hidden="1" x14ac:dyDescent="0.2">
      <c r="B1052" s="595">
        <v>91833</v>
      </c>
      <c r="C1052" s="596" t="s">
        <v>817</v>
      </c>
      <c r="D1052" s="597" t="s">
        <v>1145</v>
      </c>
      <c r="E1052" s="589"/>
      <c r="F1052" s="590"/>
      <c r="G1052" s="591"/>
      <c r="H1052" s="592"/>
      <c r="I1052" s="631">
        <v>9.59</v>
      </c>
      <c r="J1052" s="631">
        <f t="shared" si="344"/>
        <v>9.59</v>
      </c>
      <c r="K1052" s="593">
        <f t="shared" si="346"/>
        <v>12.16</v>
      </c>
      <c r="L1052" s="382" t="s">
        <v>19</v>
      </c>
      <c r="M1052" s="30"/>
      <c r="N1052" s="30">
        <v>12.16</v>
      </c>
      <c r="O1052" s="287">
        <f t="shared" si="347"/>
        <v>0</v>
      </c>
      <c r="P1052" s="287">
        <f t="shared" si="348"/>
        <v>0</v>
      </c>
      <c r="Q1052" s="288"/>
      <c r="R1052" s="243"/>
      <c r="S1052" s="378" t="str">
        <f t="shared" si="345"/>
        <v/>
      </c>
      <c r="U1052" s="722"/>
    </row>
    <row r="1053" spans="2:21" ht="25.5" hidden="1" x14ac:dyDescent="0.2">
      <c r="B1053" s="595">
        <v>91835</v>
      </c>
      <c r="C1053" s="596" t="s">
        <v>817</v>
      </c>
      <c r="D1053" s="597" t="s">
        <v>1146</v>
      </c>
      <c r="E1053" s="589"/>
      <c r="F1053" s="590"/>
      <c r="G1053" s="591"/>
      <c r="H1053" s="592"/>
      <c r="I1053" s="631">
        <v>11.66</v>
      </c>
      <c r="J1053" s="631">
        <f t="shared" si="344"/>
        <v>11.66</v>
      </c>
      <c r="K1053" s="593">
        <f t="shared" si="346"/>
        <v>14.78</v>
      </c>
      <c r="L1053" s="382" t="s">
        <v>19</v>
      </c>
      <c r="M1053" s="30"/>
      <c r="N1053" s="30">
        <v>14.78</v>
      </c>
      <c r="O1053" s="287">
        <f t="shared" si="347"/>
        <v>0</v>
      </c>
      <c r="P1053" s="287">
        <f t="shared" si="348"/>
        <v>0</v>
      </c>
      <c r="Q1053" s="288"/>
      <c r="R1053" s="243"/>
      <c r="S1053" s="378" t="str">
        <f t="shared" si="345"/>
        <v/>
      </c>
      <c r="U1053" s="722"/>
    </row>
    <row r="1054" spans="2:21" ht="25.5" hidden="1" x14ac:dyDescent="0.2">
      <c r="B1054" s="595">
        <v>91837</v>
      </c>
      <c r="C1054" s="596" t="s">
        <v>817</v>
      </c>
      <c r="D1054" s="597" t="s">
        <v>1147</v>
      </c>
      <c r="E1054" s="589"/>
      <c r="F1054" s="590"/>
      <c r="G1054" s="591"/>
      <c r="H1054" s="592"/>
      <c r="I1054" s="631">
        <v>17.32</v>
      </c>
      <c r="J1054" s="631">
        <f t="shared" si="344"/>
        <v>17.32</v>
      </c>
      <c r="K1054" s="593">
        <f t="shared" si="346"/>
        <v>21.95</v>
      </c>
      <c r="L1054" s="382" t="s">
        <v>19</v>
      </c>
      <c r="M1054" s="30"/>
      <c r="N1054" s="30">
        <v>21.95</v>
      </c>
      <c r="O1054" s="287">
        <f t="shared" si="347"/>
        <v>0</v>
      </c>
      <c r="P1054" s="287">
        <f t="shared" si="348"/>
        <v>0</v>
      </c>
      <c r="Q1054" s="288"/>
      <c r="R1054" s="243"/>
      <c r="S1054" s="378" t="str">
        <f t="shared" si="345"/>
        <v/>
      </c>
      <c r="U1054" s="722"/>
    </row>
    <row r="1055" spans="2:21" ht="25.5" hidden="1" x14ac:dyDescent="0.2">
      <c r="B1055" s="595">
        <v>91843</v>
      </c>
      <c r="C1055" s="596" t="s">
        <v>817</v>
      </c>
      <c r="D1055" s="597" t="s">
        <v>1148</v>
      </c>
      <c r="E1055" s="589"/>
      <c r="F1055" s="590"/>
      <c r="G1055" s="591"/>
      <c r="H1055" s="592"/>
      <c r="I1055" s="631">
        <v>7.39</v>
      </c>
      <c r="J1055" s="631">
        <f t="shared" ref="J1055:J1118" si="349">IF(ISBLANK(I1055),"",SUM(H1055:I1055))</f>
        <v>7.39</v>
      </c>
      <c r="K1055" s="593">
        <f t="shared" si="346"/>
        <v>9.3699999999999992</v>
      </c>
      <c r="L1055" s="382" t="s">
        <v>19</v>
      </c>
      <c r="M1055" s="30"/>
      <c r="N1055" s="30">
        <v>9.3699999999999992</v>
      </c>
      <c r="O1055" s="287">
        <f t="shared" si="347"/>
        <v>0</v>
      </c>
      <c r="P1055" s="287">
        <f t="shared" si="348"/>
        <v>0</v>
      </c>
      <c r="Q1055" s="288"/>
      <c r="R1055" s="243"/>
      <c r="S1055" s="378" t="str">
        <f t="shared" si="345"/>
        <v/>
      </c>
      <c r="U1055" s="722"/>
    </row>
    <row r="1056" spans="2:21" ht="25.5" hidden="1" x14ac:dyDescent="0.2">
      <c r="B1056" s="595">
        <v>91845</v>
      </c>
      <c r="C1056" s="596" t="s">
        <v>817</v>
      </c>
      <c r="D1056" s="597" t="s">
        <v>1149</v>
      </c>
      <c r="E1056" s="589"/>
      <c r="F1056" s="590"/>
      <c r="G1056" s="591"/>
      <c r="H1056" s="592"/>
      <c r="I1056" s="631">
        <v>9.4700000000000006</v>
      </c>
      <c r="J1056" s="631">
        <f t="shared" si="349"/>
        <v>9.4700000000000006</v>
      </c>
      <c r="K1056" s="593">
        <f t="shared" si="346"/>
        <v>12</v>
      </c>
      <c r="L1056" s="382" t="s">
        <v>19</v>
      </c>
      <c r="M1056" s="30"/>
      <c r="N1056" s="30">
        <v>12</v>
      </c>
      <c r="O1056" s="287">
        <f t="shared" si="347"/>
        <v>0</v>
      </c>
      <c r="P1056" s="287">
        <f t="shared" si="348"/>
        <v>0</v>
      </c>
      <c r="Q1056" s="288"/>
      <c r="R1056" s="243"/>
      <c r="S1056" s="378" t="str">
        <f t="shared" si="345"/>
        <v/>
      </c>
      <c r="U1056" s="722"/>
    </row>
    <row r="1057" spans="2:21" ht="25.5" hidden="1" x14ac:dyDescent="0.2">
      <c r="B1057" s="595">
        <v>91847</v>
      </c>
      <c r="C1057" s="596" t="s">
        <v>817</v>
      </c>
      <c r="D1057" s="597" t="s">
        <v>1150</v>
      </c>
      <c r="E1057" s="589"/>
      <c r="F1057" s="590"/>
      <c r="G1057" s="591"/>
      <c r="H1057" s="592"/>
      <c r="I1057" s="631">
        <v>15.11</v>
      </c>
      <c r="J1057" s="631">
        <f t="shared" si="349"/>
        <v>15.11</v>
      </c>
      <c r="K1057" s="593">
        <f t="shared" si="346"/>
        <v>19.149999999999999</v>
      </c>
      <c r="L1057" s="382" t="s">
        <v>19</v>
      </c>
      <c r="M1057" s="30"/>
      <c r="N1057" s="30">
        <v>19.149999999999999</v>
      </c>
      <c r="O1057" s="287">
        <f t="shared" si="347"/>
        <v>0</v>
      </c>
      <c r="P1057" s="287">
        <f t="shared" si="348"/>
        <v>0</v>
      </c>
      <c r="Q1057" s="288"/>
      <c r="R1057" s="243"/>
      <c r="S1057" s="378" t="str">
        <f t="shared" si="345"/>
        <v/>
      </c>
      <c r="U1057" s="722"/>
    </row>
    <row r="1058" spans="2:21" ht="25.5" hidden="1" x14ac:dyDescent="0.2">
      <c r="B1058" s="595">
        <v>91853</v>
      </c>
      <c r="C1058" s="596" t="s">
        <v>817</v>
      </c>
      <c r="D1058" s="597" t="s">
        <v>1151</v>
      </c>
      <c r="E1058" s="589"/>
      <c r="F1058" s="590"/>
      <c r="G1058" s="591"/>
      <c r="H1058" s="592"/>
      <c r="I1058" s="631">
        <v>9.9600000000000009</v>
      </c>
      <c r="J1058" s="631">
        <f t="shared" si="349"/>
        <v>9.9600000000000009</v>
      </c>
      <c r="K1058" s="593">
        <f t="shared" si="346"/>
        <v>12.62</v>
      </c>
      <c r="L1058" s="382" t="s">
        <v>19</v>
      </c>
      <c r="M1058" s="30"/>
      <c r="N1058" s="30">
        <v>12.62</v>
      </c>
      <c r="O1058" s="287">
        <f t="shared" si="347"/>
        <v>0</v>
      </c>
      <c r="P1058" s="287">
        <f t="shared" si="348"/>
        <v>0</v>
      </c>
      <c r="Q1058" s="288"/>
      <c r="R1058" s="243"/>
      <c r="S1058" s="378" t="str">
        <f t="shared" si="345"/>
        <v/>
      </c>
      <c r="U1058" s="722"/>
    </row>
    <row r="1059" spans="2:21" ht="25.5" hidden="1" x14ac:dyDescent="0.2">
      <c r="B1059" s="595">
        <v>91855</v>
      </c>
      <c r="C1059" s="596" t="s">
        <v>817</v>
      </c>
      <c r="D1059" s="597" t="s">
        <v>1152</v>
      </c>
      <c r="E1059" s="589"/>
      <c r="F1059" s="590"/>
      <c r="G1059" s="591"/>
      <c r="H1059" s="592"/>
      <c r="I1059" s="631">
        <v>11.93</v>
      </c>
      <c r="J1059" s="631">
        <f t="shared" si="349"/>
        <v>11.93</v>
      </c>
      <c r="K1059" s="593">
        <f t="shared" si="346"/>
        <v>15.12</v>
      </c>
      <c r="L1059" s="382" t="s">
        <v>19</v>
      </c>
      <c r="M1059" s="30"/>
      <c r="N1059" s="30">
        <v>15.12</v>
      </c>
      <c r="O1059" s="287">
        <f t="shared" si="347"/>
        <v>0</v>
      </c>
      <c r="P1059" s="287">
        <f t="shared" si="348"/>
        <v>0</v>
      </c>
      <c r="Q1059" s="288"/>
      <c r="R1059" s="243"/>
      <c r="S1059" s="378" t="str">
        <f t="shared" si="345"/>
        <v/>
      </c>
      <c r="U1059" s="722"/>
    </row>
    <row r="1060" spans="2:21" ht="25.5" hidden="1" x14ac:dyDescent="0.2">
      <c r="B1060" s="595">
        <v>91857</v>
      </c>
      <c r="C1060" s="596" t="s">
        <v>817</v>
      </c>
      <c r="D1060" s="597" t="s">
        <v>1153</v>
      </c>
      <c r="E1060" s="589"/>
      <c r="F1060" s="590"/>
      <c r="G1060" s="591"/>
      <c r="H1060" s="592"/>
      <c r="I1060" s="631">
        <v>17.239999999999998</v>
      </c>
      <c r="J1060" s="631">
        <f t="shared" si="349"/>
        <v>17.239999999999998</v>
      </c>
      <c r="K1060" s="593">
        <f t="shared" si="346"/>
        <v>21.85</v>
      </c>
      <c r="L1060" s="382" t="s">
        <v>19</v>
      </c>
      <c r="M1060" s="30"/>
      <c r="N1060" s="30">
        <v>21.85</v>
      </c>
      <c r="O1060" s="287">
        <f t="shared" si="347"/>
        <v>0</v>
      </c>
      <c r="P1060" s="287">
        <f t="shared" si="348"/>
        <v>0</v>
      </c>
      <c r="Q1060" s="288"/>
      <c r="R1060" s="243"/>
      <c r="S1060" s="378" t="str">
        <f t="shared" si="345"/>
        <v/>
      </c>
      <c r="U1060" s="722"/>
    </row>
    <row r="1061" spans="2:21" ht="25.5" hidden="1" x14ac:dyDescent="0.2">
      <c r="B1061" s="595">
        <v>91874</v>
      </c>
      <c r="C1061" s="596" t="s">
        <v>817</v>
      </c>
      <c r="D1061" s="597" t="s">
        <v>1154</v>
      </c>
      <c r="E1061" s="589"/>
      <c r="F1061" s="590"/>
      <c r="G1061" s="591"/>
      <c r="H1061" s="592"/>
      <c r="I1061" s="631">
        <v>5.4</v>
      </c>
      <c r="J1061" s="631">
        <f t="shared" si="349"/>
        <v>5.4</v>
      </c>
      <c r="K1061" s="593">
        <f t="shared" si="346"/>
        <v>6.84</v>
      </c>
      <c r="L1061" s="382" t="s">
        <v>21</v>
      </c>
      <c r="M1061" s="30"/>
      <c r="N1061" s="30">
        <v>6.84</v>
      </c>
      <c r="O1061" s="287">
        <f t="shared" si="347"/>
        <v>0</v>
      </c>
      <c r="P1061" s="287">
        <f t="shared" si="348"/>
        <v>0</v>
      </c>
      <c r="Q1061" s="288"/>
      <c r="R1061" s="243"/>
      <c r="S1061" s="378" t="str">
        <f t="shared" si="345"/>
        <v/>
      </c>
      <c r="U1061" s="722"/>
    </row>
    <row r="1062" spans="2:21" ht="25.5" hidden="1" x14ac:dyDescent="0.2">
      <c r="B1062" s="595">
        <v>91875</v>
      </c>
      <c r="C1062" s="596" t="s">
        <v>817</v>
      </c>
      <c r="D1062" s="597" t="s">
        <v>1155</v>
      </c>
      <c r="E1062" s="589"/>
      <c r="F1062" s="590"/>
      <c r="G1062" s="591"/>
      <c r="H1062" s="592"/>
      <c r="I1062" s="631">
        <v>7.18</v>
      </c>
      <c r="J1062" s="631">
        <f t="shared" si="349"/>
        <v>7.18</v>
      </c>
      <c r="K1062" s="593">
        <f t="shared" si="346"/>
        <v>9.1</v>
      </c>
      <c r="L1062" s="382" t="s">
        <v>21</v>
      </c>
      <c r="M1062" s="30"/>
      <c r="N1062" s="30">
        <v>9.1</v>
      </c>
      <c r="O1062" s="287">
        <f t="shared" si="347"/>
        <v>0</v>
      </c>
      <c r="P1062" s="287">
        <f t="shared" si="348"/>
        <v>0</v>
      </c>
      <c r="Q1062" s="288"/>
      <c r="R1062" s="243"/>
      <c r="S1062" s="378" t="str">
        <f t="shared" si="345"/>
        <v/>
      </c>
      <c r="U1062" s="722"/>
    </row>
    <row r="1063" spans="2:21" ht="25.5" hidden="1" x14ac:dyDescent="0.2">
      <c r="B1063" s="595">
        <v>91876</v>
      </c>
      <c r="C1063" s="596" t="s">
        <v>817</v>
      </c>
      <c r="D1063" s="597" t="s">
        <v>1156</v>
      </c>
      <c r="E1063" s="589"/>
      <c r="F1063" s="590"/>
      <c r="G1063" s="591"/>
      <c r="H1063" s="592"/>
      <c r="I1063" s="631">
        <v>9.51</v>
      </c>
      <c r="J1063" s="631">
        <f t="shared" si="349"/>
        <v>9.51</v>
      </c>
      <c r="K1063" s="593">
        <f t="shared" si="346"/>
        <v>12.05</v>
      </c>
      <c r="L1063" s="382" t="s">
        <v>21</v>
      </c>
      <c r="M1063" s="30"/>
      <c r="N1063" s="30">
        <v>12.05</v>
      </c>
      <c r="O1063" s="287">
        <f t="shared" si="347"/>
        <v>0</v>
      </c>
      <c r="P1063" s="287">
        <f t="shared" si="348"/>
        <v>0</v>
      </c>
      <c r="Q1063" s="288"/>
      <c r="R1063" s="243"/>
      <c r="S1063" s="378" t="str">
        <f t="shared" si="345"/>
        <v/>
      </c>
      <c r="U1063" s="722"/>
    </row>
    <row r="1064" spans="2:21" ht="25.5" hidden="1" x14ac:dyDescent="0.2">
      <c r="B1064" s="595">
        <v>91877</v>
      </c>
      <c r="C1064" s="596" t="s">
        <v>817</v>
      </c>
      <c r="D1064" s="597" t="s">
        <v>1157</v>
      </c>
      <c r="E1064" s="589"/>
      <c r="F1064" s="590"/>
      <c r="G1064" s="591"/>
      <c r="H1064" s="592"/>
      <c r="I1064" s="631">
        <v>12.75</v>
      </c>
      <c r="J1064" s="631">
        <f t="shared" si="349"/>
        <v>12.75</v>
      </c>
      <c r="K1064" s="593">
        <f t="shared" si="346"/>
        <v>16.16</v>
      </c>
      <c r="L1064" s="382" t="s">
        <v>21</v>
      </c>
      <c r="M1064" s="30"/>
      <c r="N1064" s="30">
        <v>16.16</v>
      </c>
      <c r="O1064" s="287">
        <f t="shared" si="347"/>
        <v>0</v>
      </c>
      <c r="P1064" s="287">
        <f t="shared" si="348"/>
        <v>0</v>
      </c>
      <c r="Q1064" s="288"/>
      <c r="R1064" s="243"/>
      <c r="S1064" s="378" t="str">
        <f t="shared" si="345"/>
        <v/>
      </c>
      <c r="U1064" s="722"/>
    </row>
    <row r="1065" spans="2:21" ht="25.5" hidden="1" x14ac:dyDescent="0.2">
      <c r="B1065" s="595">
        <v>91878</v>
      </c>
      <c r="C1065" s="596" t="s">
        <v>817</v>
      </c>
      <c r="D1065" s="597" t="s">
        <v>1158</v>
      </c>
      <c r="E1065" s="589"/>
      <c r="F1065" s="590"/>
      <c r="G1065" s="591"/>
      <c r="H1065" s="592"/>
      <c r="I1065" s="631">
        <v>6.87</v>
      </c>
      <c r="J1065" s="631">
        <f t="shared" si="349"/>
        <v>6.87</v>
      </c>
      <c r="K1065" s="593">
        <f t="shared" si="346"/>
        <v>8.7100000000000009</v>
      </c>
      <c r="L1065" s="382" t="s">
        <v>21</v>
      </c>
      <c r="M1065" s="30"/>
      <c r="N1065" s="30">
        <v>8.7100000000000009</v>
      </c>
      <c r="O1065" s="287">
        <f t="shared" si="347"/>
        <v>0</v>
      </c>
      <c r="P1065" s="287">
        <f t="shared" si="348"/>
        <v>0</v>
      </c>
      <c r="Q1065" s="288"/>
      <c r="R1065" s="243"/>
      <c r="S1065" s="378" t="str">
        <f t="shared" si="345"/>
        <v/>
      </c>
      <c r="U1065" s="722"/>
    </row>
    <row r="1066" spans="2:21" ht="25.5" hidden="1" x14ac:dyDescent="0.2">
      <c r="B1066" s="595">
        <v>91879</v>
      </c>
      <c r="C1066" s="596" t="s">
        <v>817</v>
      </c>
      <c r="D1066" s="597" t="s">
        <v>1159</v>
      </c>
      <c r="E1066" s="589"/>
      <c r="F1066" s="590"/>
      <c r="G1066" s="591"/>
      <c r="H1066" s="592"/>
      <c r="I1066" s="631">
        <v>8.61</v>
      </c>
      <c r="J1066" s="631">
        <f t="shared" si="349"/>
        <v>8.61</v>
      </c>
      <c r="K1066" s="593">
        <f t="shared" si="346"/>
        <v>10.91</v>
      </c>
      <c r="L1066" s="382" t="s">
        <v>21</v>
      </c>
      <c r="M1066" s="30"/>
      <c r="N1066" s="30">
        <v>10.91</v>
      </c>
      <c r="O1066" s="287">
        <f t="shared" si="347"/>
        <v>0</v>
      </c>
      <c r="P1066" s="287">
        <f t="shared" si="348"/>
        <v>0</v>
      </c>
      <c r="Q1066" s="288"/>
      <c r="R1066" s="243"/>
      <c r="S1066" s="378" t="str">
        <f t="shared" si="345"/>
        <v/>
      </c>
      <c r="U1066" s="722"/>
    </row>
    <row r="1067" spans="2:21" ht="25.5" hidden="1" x14ac:dyDescent="0.2">
      <c r="B1067" s="595">
        <v>91880</v>
      </c>
      <c r="C1067" s="596" t="s">
        <v>817</v>
      </c>
      <c r="D1067" s="597" t="s">
        <v>1160</v>
      </c>
      <c r="E1067" s="589"/>
      <c r="F1067" s="590"/>
      <c r="G1067" s="591"/>
      <c r="H1067" s="592"/>
      <c r="I1067" s="631">
        <v>10.98</v>
      </c>
      <c r="J1067" s="631">
        <f t="shared" si="349"/>
        <v>10.98</v>
      </c>
      <c r="K1067" s="593">
        <f t="shared" si="346"/>
        <v>13.92</v>
      </c>
      <c r="L1067" s="382" t="s">
        <v>21</v>
      </c>
      <c r="M1067" s="30"/>
      <c r="N1067" s="30">
        <v>13.92</v>
      </c>
      <c r="O1067" s="287">
        <f t="shared" si="347"/>
        <v>0</v>
      </c>
      <c r="P1067" s="287">
        <f t="shared" si="348"/>
        <v>0</v>
      </c>
      <c r="Q1067" s="288"/>
      <c r="R1067" s="243"/>
      <c r="S1067" s="378" t="str">
        <f t="shared" si="345"/>
        <v/>
      </c>
      <c r="U1067" s="722"/>
    </row>
    <row r="1068" spans="2:21" ht="25.5" hidden="1" x14ac:dyDescent="0.2">
      <c r="B1068" s="595">
        <v>91881</v>
      </c>
      <c r="C1068" s="596" t="s">
        <v>817</v>
      </c>
      <c r="D1068" s="597" t="s">
        <v>1161</v>
      </c>
      <c r="E1068" s="589"/>
      <c r="F1068" s="590"/>
      <c r="G1068" s="591"/>
      <c r="H1068" s="592"/>
      <c r="I1068" s="631">
        <v>14.22</v>
      </c>
      <c r="J1068" s="631">
        <f t="shared" si="349"/>
        <v>14.22</v>
      </c>
      <c r="K1068" s="593">
        <f t="shared" si="346"/>
        <v>18.02</v>
      </c>
      <c r="L1068" s="382" t="s">
        <v>21</v>
      </c>
      <c r="M1068" s="30"/>
      <c r="N1068" s="30">
        <v>18.02</v>
      </c>
      <c r="O1068" s="287">
        <f t="shared" si="347"/>
        <v>0</v>
      </c>
      <c r="P1068" s="287">
        <f t="shared" si="348"/>
        <v>0</v>
      </c>
      <c r="Q1068" s="288"/>
      <c r="R1068" s="243"/>
      <c r="S1068" s="378" t="str">
        <f t="shared" si="345"/>
        <v/>
      </c>
      <c r="U1068" s="722"/>
    </row>
    <row r="1069" spans="2:21" ht="25.5" hidden="1" x14ac:dyDescent="0.2">
      <c r="B1069" s="595">
        <v>91882</v>
      </c>
      <c r="C1069" s="596" t="s">
        <v>817</v>
      </c>
      <c r="D1069" s="597" t="s">
        <v>1162</v>
      </c>
      <c r="E1069" s="589"/>
      <c r="F1069" s="590"/>
      <c r="G1069" s="591"/>
      <c r="H1069" s="592"/>
      <c r="I1069" s="631">
        <v>8.4499999999999993</v>
      </c>
      <c r="J1069" s="631">
        <f t="shared" si="349"/>
        <v>8.4499999999999993</v>
      </c>
      <c r="K1069" s="593">
        <f t="shared" si="346"/>
        <v>10.71</v>
      </c>
      <c r="L1069" s="382" t="s">
        <v>21</v>
      </c>
      <c r="M1069" s="30"/>
      <c r="N1069" s="30">
        <v>10.71</v>
      </c>
      <c r="O1069" s="287">
        <f t="shared" si="347"/>
        <v>0</v>
      </c>
      <c r="P1069" s="287">
        <f t="shared" si="348"/>
        <v>0</v>
      </c>
      <c r="Q1069" s="288"/>
      <c r="R1069" s="243"/>
      <c r="S1069" s="378" t="str">
        <f t="shared" si="345"/>
        <v/>
      </c>
      <c r="U1069" s="722"/>
    </row>
    <row r="1070" spans="2:21" ht="25.5" hidden="1" x14ac:dyDescent="0.2">
      <c r="B1070" s="595">
        <v>91884</v>
      </c>
      <c r="C1070" s="596" t="s">
        <v>817</v>
      </c>
      <c r="D1070" s="597" t="s">
        <v>1163</v>
      </c>
      <c r="E1070" s="589"/>
      <c r="F1070" s="590"/>
      <c r="G1070" s="591"/>
      <c r="H1070" s="592"/>
      <c r="I1070" s="631">
        <v>9.84</v>
      </c>
      <c r="J1070" s="631">
        <f t="shared" si="349"/>
        <v>9.84</v>
      </c>
      <c r="K1070" s="593">
        <f t="shared" si="346"/>
        <v>12.47</v>
      </c>
      <c r="L1070" s="382" t="s">
        <v>21</v>
      </c>
      <c r="M1070" s="30"/>
      <c r="N1070" s="30">
        <v>12.47</v>
      </c>
      <c r="O1070" s="287">
        <f t="shared" si="347"/>
        <v>0</v>
      </c>
      <c r="P1070" s="287">
        <f t="shared" si="348"/>
        <v>0</v>
      </c>
      <c r="Q1070" s="288"/>
      <c r="R1070" s="243"/>
      <c r="S1070" s="378" t="str">
        <f t="shared" si="345"/>
        <v/>
      </c>
      <c r="U1070" s="722"/>
    </row>
    <row r="1071" spans="2:21" ht="25.5" hidden="1" x14ac:dyDescent="0.2">
      <c r="B1071" s="595">
        <v>91885</v>
      </c>
      <c r="C1071" s="596" t="s">
        <v>817</v>
      </c>
      <c r="D1071" s="597" t="s">
        <v>1164</v>
      </c>
      <c r="E1071" s="589"/>
      <c r="F1071" s="590"/>
      <c r="G1071" s="591"/>
      <c r="H1071" s="592"/>
      <c r="I1071" s="631">
        <v>11.69</v>
      </c>
      <c r="J1071" s="631">
        <f t="shared" si="349"/>
        <v>11.69</v>
      </c>
      <c r="K1071" s="593">
        <f t="shared" si="346"/>
        <v>14.82</v>
      </c>
      <c r="L1071" s="382" t="s">
        <v>21</v>
      </c>
      <c r="M1071" s="30"/>
      <c r="N1071" s="30">
        <v>14.82</v>
      </c>
      <c r="O1071" s="287">
        <f t="shared" si="347"/>
        <v>0</v>
      </c>
      <c r="P1071" s="287">
        <f t="shared" si="348"/>
        <v>0</v>
      </c>
      <c r="Q1071" s="288"/>
      <c r="R1071" s="243"/>
      <c r="S1071" s="378" t="str">
        <f t="shared" si="345"/>
        <v/>
      </c>
      <c r="U1071" s="722"/>
    </row>
    <row r="1072" spans="2:21" ht="25.5" hidden="1" x14ac:dyDescent="0.2">
      <c r="B1072" s="595">
        <v>91886</v>
      </c>
      <c r="C1072" s="596" t="s">
        <v>817</v>
      </c>
      <c r="D1072" s="597" t="s">
        <v>1165</v>
      </c>
      <c r="E1072" s="589"/>
      <c r="F1072" s="590"/>
      <c r="G1072" s="591"/>
      <c r="H1072" s="592"/>
      <c r="I1072" s="631">
        <v>14.38</v>
      </c>
      <c r="J1072" s="631">
        <f t="shared" si="349"/>
        <v>14.38</v>
      </c>
      <c r="K1072" s="593">
        <f t="shared" si="346"/>
        <v>18.23</v>
      </c>
      <c r="L1072" s="382" t="s">
        <v>21</v>
      </c>
      <c r="M1072" s="30"/>
      <c r="N1072" s="30">
        <v>18.23</v>
      </c>
      <c r="O1072" s="287">
        <f t="shared" si="347"/>
        <v>0</v>
      </c>
      <c r="P1072" s="287">
        <f t="shared" si="348"/>
        <v>0</v>
      </c>
      <c r="Q1072" s="288"/>
      <c r="R1072" s="243"/>
      <c r="S1072" s="378" t="str">
        <f t="shared" si="345"/>
        <v/>
      </c>
      <c r="U1072" s="722"/>
    </row>
    <row r="1073" spans="2:21" ht="25.5" hidden="1" x14ac:dyDescent="0.2">
      <c r="B1073" s="595">
        <v>91887</v>
      </c>
      <c r="C1073" s="596" t="s">
        <v>817</v>
      </c>
      <c r="D1073" s="597" t="s">
        <v>1166</v>
      </c>
      <c r="E1073" s="589"/>
      <c r="F1073" s="590"/>
      <c r="G1073" s="591"/>
      <c r="H1073" s="592"/>
      <c r="I1073" s="631">
        <v>10.35</v>
      </c>
      <c r="J1073" s="631">
        <f t="shared" si="349"/>
        <v>10.35</v>
      </c>
      <c r="K1073" s="593">
        <f t="shared" si="346"/>
        <v>13.12</v>
      </c>
      <c r="L1073" s="382" t="s">
        <v>21</v>
      </c>
      <c r="M1073" s="30"/>
      <c r="N1073" s="30">
        <v>13.12</v>
      </c>
      <c r="O1073" s="287">
        <f t="shared" si="347"/>
        <v>0</v>
      </c>
      <c r="P1073" s="287">
        <f t="shared" si="348"/>
        <v>0</v>
      </c>
      <c r="Q1073" s="288"/>
      <c r="R1073" s="243"/>
      <c r="S1073" s="378" t="str">
        <f t="shared" si="345"/>
        <v/>
      </c>
      <c r="U1073" s="722"/>
    </row>
    <row r="1074" spans="2:21" ht="25.5" hidden="1" x14ac:dyDescent="0.2">
      <c r="B1074" s="595">
        <v>91889</v>
      </c>
      <c r="C1074" s="596" t="s">
        <v>817</v>
      </c>
      <c r="D1074" s="597" t="s">
        <v>1167</v>
      </c>
      <c r="E1074" s="589"/>
      <c r="F1074" s="590"/>
      <c r="G1074" s="591"/>
      <c r="H1074" s="592"/>
      <c r="I1074" s="631">
        <v>9.91</v>
      </c>
      <c r="J1074" s="631">
        <f t="shared" si="349"/>
        <v>9.91</v>
      </c>
      <c r="K1074" s="593">
        <f t="shared" si="346"/>
        <v>12.56</v>
      </c>
      <c r="L1074" s="382" t="s">
        <v>21</v>
      </c>
      <c r="M1074" s="30"/>
      <c r="N1074" s="30">
        <v>12.56</v>
      </c>
      <c r="O1074" s="287">
        <f t="shared" si="347"/>
        <v>0</v>
      </c>
      <c r="P1074" s="287">
        <f t="shared" si="348"/>
        <v>0</v>
      </c>
      <c r="Q1074" s="288"/>
      <c r="R1074" s="243"/>
      <c r="S1074" s="378" t="str">
        <f t="shared" si="345"/>
        <v/>
      </c>
      <c r="U1074" s="722"/>
    </row>
    <row r="1075" spans="2:21" ht="25.5" hidden="1" x14ac:dyDescent="0.2">
      <c r="B1075" s="595">
        <v>91890</v>
      </c>
      <c r="C1075" s="596" t="s">
        <v>817</v>
      </c>
      <c r="D1075" s="597" t="s">
        <v>1168</v>
      </c>
      <c r="E1075" s="589"/>
      <c r="F1075" s="590"/>
      <c r="G1075" s="591"/>
      <c r="H1075" s="592"/>
      <c r="I1075" s="631">
        <v>12.18</v>
      </c>
      <c r="J1075" s="631">
        <f t="shared" si="349"/>
        <v>12.18</v>
      </c>
      <c r="K1075" s="593">
        <f t="shared" si="346"/>
        <v>15.44</v>
      </c>
      <c r="L1075" s="382" t="s">
        <v>21</v>
      </c>
      <c r="M1075" s="30"/>
      <c r="N1075" s="30">
        <v>15.44</v>
      </c>
      <c r="O1075" s="287">
        <f t="shared" si="347"/>
        <v>0</v>
      </c>
      <c r="P1075" s="287">
        <f t="shared" si="348"/>
        <v>0</v>
      </c>
      <c r="Q1075" s="288"/>
      <c r="R1075" s="243"/>
      <c r="S1075" s="378" t="str">
        <f t="shared" si="345"/>
        <v/>
      </c>
      <c r="U1075" s="722"/>
    </row>
    <row r="1076" spans="2:21" ht="25.5" hidden="1" x14ac:dyDescent="0.2">
      <c r="B1076" s="595">
        <v>91892</v>
      </c>
      <c r="C1076" s="596" t="s">
        <v>817</v>
      </c>
      <c r="D1076" s="597" t="s">
        <v>1169</v>
      </c>
      <c r="E1076" s="589"/>
      <c r="F1076" s="590"/>
      <c r="G1076" s="591"/>
      <c r="H1076" s="592"/>
      <c r="I1076" s="631">
        <v>15.09</v>
      </c>
      <c r="J1076" s="631">
        <f t="shared" si="349"/>
        <v>15.09</v>
      </c>
      <c r="K1076" s="593">
        <f t="shared" si="346"/>
        <v>19.13</v>
      </c>
      <c r="L1076" s="382" t="s">
        <v>21</v>
      </c>
      <c r="M1076" s="30"/>
      <c r="N1076" s="30">
        <v>19.13</v>
      </c>
      <c r="O1076" s="287">
        <f t="shared" si="347"/>
        <v>0</v>
      </c>
      <c r="P1076" s="287">
        <f t="shared" si="348"/>
        <v>0</v>
      </c>
      <c r="Q1076" s="288"/>
      <c r="R1076" s="243"/>
      <c r="S1076" s="378" t="str">
        <f t="shared" si="345"/>
        <v/>
      </c>
      <c r="U1076" s="722"/>
    </row>
    <row r="1077" spans="2:21" ht="25.5" hidden="1" x14ac:dyDescent="0.2">
      <c r="B1077" s="595">
        <v>91893</v>
      </c>
      <c r="C1077" s="596" t="s">
        <v>817</v>
      </c>
      <c r="D1077" s="597" t="s">
        <v>1170</v>
      </c>
      <c r="E1077" s="589"/>
      <c r="F1077" s="590"/>
      <c r="G1077" s="591"/>
      <c r="H1077" s="592"/>
      <c r="I1077" s="631">
        <v>16.77</v>
      </c>
      <c r="J1077" s="631">
        <f t="shared" si="349"/>
        <v>16.77</v>
      </c>
      <c r="K1077" s="593">
        <f t="shared" si="346"/>
        <v>21.26</v>
      </c>
      <c r="L1077" s="382" t="s">
        <v>21</v>
      </c>
      <c r="M1077" s="30"/>
      <c r="N1077" s="30">
        <v>21.26</v>
      </c>
      <c r="O1077" s="287">
        <f t="shared" si="347"/>
        <v>0</v>
      </c>
      <c r="P1077" s="287">
        <f t="shared" si="348"/>
        <v>0</v>
      </c>
      <c r="Q1077" s="288"/>
      <c r="R1077" s="243"/>
      <c r="S1077" s="378" t="str">
        <f t="shared" si="345"/>
        <v/>
      </c>
      <c r="U1077" s="722"/>
    </row>
    <row r="1078" spans="2:21" ht="25.5" hidden="1" x14ac:dyDescent="0.2">
      <c r="B1078" s="595">
        <v>91896</v>
      </c>
      <c r="C1078" s="596" t="s">
        <v>817</v>
      </c>
      <c r="D1078" s="597" t="s">
        <v>1171</v>
      </c>
      <c r="E1078" s="589"/>
      <c r="F1078" s="590"/>
      <c r="G1078" s="591"/>
      <c r="H1078" s="592"/>
      <c r="I1078" s="631">
        <v>20.36</v>
      </c>
      <c r="J1078" s="631">
        <f t="shared" si="349"/>
        <v>20.36</v>
      </c>
      <c r="K1078" s="593">
        <f t="shared" si="346"/>
        <v>25.81</v>
      </c>
      <c r="L1078" s="382" t="s">
        <v>21</v>
      </c>
      <c r="M1078" s="30"/>
      <c r="N1078" s="30">
        <v>25.81</v>
      </c>
      <c r="O1078" s="287">
        <f t="shared" si="347"/>
        <v>0</v>
      </c>
      <c r="P1078" s="287">
        <f t="shared" si="348"/>
        <v>0</v>
      </c>
      <c r="Q1078" s="288"/>
      <c r="R1078" s="243"/>
      <c r="S1078" s="378" t="str">
        <f t="shared" si="345"/>
        <v/>
      </c>
      <c r="U1078" s="722"/>
    </row>
    <row r="1079" spans="2:21" ht="25.5" hidden="1" x14ac:dyDescent="0.2">
      <c r="B1079" s="595">
        <v>91898</v>
      </c>
      <c r="C1079" s="596" t="s">
        <v>817</v>
      </c>
      <c r="D1079" s="597" t="s">
        <v>1172</v>
      </c>
      <c r="E1079" s="589"/>
      <c r="F1079" s="590"/>
      <c r="G1079" s="591"/>
      <c r="H1079" s="592"/>
      <c r="I1079" s="631">
        <v>23.52</v>
      </c>
      <c r="J1079" s="631">
        <f t="shared" si="349"/>
        <v>23.52</v>
      </c>
      <c r="K1079" s="593">
        <f t="shared" si="346"/>
        <v>29.81</v>
      </c>
      <c r="L1079" s="382" t="s">
        <v>21</v>
      </c>
      <c r="M1079" s="30"/>
      <c r="N1079" s="30">
        <v>29.81</v>
      </c>
      <c r="O1079" s="287">
        <f t="shared" si="347"/>
        <v>0</v>
      </c>
      <c r="P1079" s="287">
        <f t="shared" si="348"/>
        <v>0</v>
      </c>
      <c r="Q1079" s="288"/>
      <c r="R1079" s="243"/>
      <c r="S1079" s="378" t="str">
        <f t="shared" si="345"/>
        <v/>
      </c>
      <c r="U1079" s="722"/>
    </row>
    <row r="1080" spans="2:21" ht="25.5" hidden="1" x14ac:dyDescent="0.2">
      <c r="B1080" s="595">
        <v>91899</v>
      </c>
      <c r="C1080" s="596" t="s">
        <v>817</v>
      </c>
      <c r="D1080" s="597" t="s">
        <v>1173</v>
      </c>
      <c r="E1080" s="589"/>
      <c r="F1080" s="590"/>
      <c r="G1080" s="591"/>
      <c r="H1080" s="592"/>
      <c r="I1080" s="631">
        <v>12.48</v>
      </c>
      <c r="J1080" s="631">
        <f t="shared" si="349"/>
        <v>12.48</v>
      </c>
      <c r="K1080" s="593">
        <f t="shared" si="346"/>
        <v>15.82</v>
      </c>
      <c r="L1080" s="382" t="s">
        <v>21</v>
      </c>
      <c r="M1080" s="30"/>
      <c r="N1080" s="30">
        <v>15.82</v>
      </c>
      <c r="O1080" s="287">
        <f t="shared" si="347"/>
        <v>0</v>
      </c>
      <c r="P1080" s="287">
        <f t="shared" si="348"/>
        <v>0</v>
      </c>
      <c r="Q1080" s="288"/>
      <c r="R1080" s="243"/>
      <c r="S1080" s="378" t="str">
        <f t="shared" si="345"/>
        <v/>
      </c>
      <c r="U1080" s="722"/>
    </row>
    <row r="1081" spans="2:21" ht="25.5" hidden="1" x14ac:dyDescent="0.2">
      <c r="B1081" s="595">
        <v>91901</v>
      </c>
      <c r="C1081" s="596" t="s">
        <v>817</v>
      </c>
      <c r="D1081" s="597" t="s">
        <v>1174</v>
      </c>
      <c r="E1081" s="589"/>
      <c r="F1081" s="590"/>
      <c r="G1081" s="591"/>
      <c r="H1081" s="592"/>
      <c r="I1081" s="631">
        <v>12.04</v>
      </c>
      <c r="J1081" s="631">
        <f t="shared" si="349"/>
        <v>12.04</v>
      </c>
      <c r="K1081" s="593">
        <f t="shared" si="346"/>
        <v>15.26</v>
      </c>
      <c r="L1081" s="382" t="s">
        <v>21</v>
      </c>
      <c r="M1081" s="30"/>
      <c r="N1081" s="30">
        <v>15.26</v>
      </c>
      <c r="O1081" s="287">
        <f t="shared" si="347"/>
        <v>0</v>
      </c>
      <c r="P1081" s="287">
        <f t="shared" si="348"/>
        <v>0</v>
      </c>
      <c r="Q1081" s="288"/>
      <c r="R1081" s="243"/>
      <c r="S1081" s="378" t="str">
        <f t="shared" si="345"/>
        <v/>
      </c>
      <c r="U1081" s="722"/>
    </row>
    <row r="1082" spans="2:21" ht="25.5" hidden="1" x14ac:dyDescent="0.2">
      <c r="B1082" s="595">
        <v>91902</v>
      </c>
      <c r="C1082" s="596" t="s">
        <v>817</v>
      </c>
      <c r="D1082" s="597" t="s">
        <v>1175</v>
      </c>
      <c r="E1082" s="589"/>
      <c r="F1082" s="590"/>
      <c r="G1082" s="591"/>
      <c r="H1082" s="592"/>
      <c r="I1082" s="631">
        <v>14.32</v>
      </c>
      <c r="J1082" s="631">
        <f t="shared" si="349"/>
        <v>14.32</v>
      </c>
      <c r="K1082" s="593">
        <f t="shared" si="346"/>
        <v>18.149999999999999</v>
      </c>
      <c r="L1082" s="382" t="s">
        <v>21</v>
      </c>
      <c r="M1082" s="30"/>
      <c r="N1082" s="30">
        <v>18.149999999999999</v>
      </c>
      <c r="O1082" s="287">
        <f t="shared" si="347"/>
        <v>0</v>
      </c>
      <c r="P1082" s="287">
        <f t="shared" si="348"/>
        <v>0</v>
      </c>
      <c r="Q1082" s="288"/>
      <c r="R1082" s="243"/>
      <c r="S1082" s="378" t="str">
        <f t="shared" si="345"/>
        <v/>
      </c>
      <c r="U1082" s="722"/>
    </row>
    <row r="1083" spans="2:21" ht="25.5" hidden="1" x14ac:dyDescent="0.2">
      <c r="B1083" s="595">
        <v>91895</v>
      </c>
      <c r="C1083" s="596" t="s">
        <v>817</v>
      </c>
      <c r="D1083" s="597" t="s">
        <v>1176</v>
      </c>
      <c r="E1083" s="589"/>
      <c r="F1083" s="590"/>
      <c r="G1083" s="591"/>
      <c r="H1083" s="592"/>
      <c r="I1083" s="631">
        <v>19.72</v>
      </c>
      <c r="J1083" s="631">
        <f t="shared" si="349"/>
        <v>19.72</v>
      </c>
      <c r="K1083" s="593">
        <f t="shared" si="346"/>
        <v>25</v>
      </c>
      <c r="L1083" s="382" t="s">
        <v>21</v>
      </c>
      <c r="M1083" s="30"/>
      <c r="N1083" s="30">
        <v>25</v>
      </c>
      <c r="O1083" s="287">
        <f t="shared" si="347"/>
        <v>0</v>
      </c>
      <c r="P1083" s="287">
        <f t="shared" si="348"/>
        <v>0</v>
      </c>
      <c r="Q1083" s="288"/>
      <c r="R1083" s="243"/>
      <c r="S1083" s="378" t="str">
        <f t="shared" si="345"/>
        <v/>
      </c>
      <c r="U1083" s="722"/>
    </row>
    <row r="1084" spans="2:21" ht="25.5" hidden="1" x14ac:dyDescent="0.2">
      <c r="B1084" s="595">
        <v>91907</v>
      </c>
      <c r="C1084" s="596" t="s">
        <v>817</v>
      </c>
      <c r="D1084" s="597" t="s">
        <v>1177</v>
      </c>
      <c r="E1084" s="589"/>
      <c r="F1084" s="590"/>
      <c r="G1084" s="591"/>
      <c r="H1084" s="592"/>
      <c r="I1084" s="631">
        <v>21.85</v>
      </c>
      <c r="J1084" s="631">
        <f t="shared" si="349"/>
        <v>21.85</v>
      </c>
      <c r="K1084" s="593">
        <f t="shared" si="346"/>
        <v>27.69</v>
      </c>
      <c r="L1084" s="382" t="s">
        <v>21</v>
      </c>
      <c r="M1084" s="30"/>
      <c r="N1084" s="30">
        <v>27.69</v>
      </c>
      <c r="O1084" s="287">
        <f t="shared" si="347"/>
        <v>0</v>
      </c>
      <c r="P1084" s="287">
        <f t="shared" si="348"/>
        <v>0</v>
      </c>
      <c r="Q1084" s="288"/>
      <c r="R1084" s="243"/>
      <c r="S1084" s="378" t="str">
        <f t="shared" si="345"/>
        <v/>
      </c>
      <c r="U1084" s="722"/>
    </row>
    <row r="1085" spans="2:21" ht="25.5" hidden="1" x14ac:dyDescent="0.2">
      <c r="B1085" s="595">
        <v>91919</v>
      </c>
      <c r="C1085" s="596" t="s">
        <v>817</v>
      </c>
      <c r="D1085" s="597" t="s">
        <v>1178</v>
      </c>
      <c r="E1085" s="589"/>
      <c r="F1085" s="590"/>
      <c r="G1085" s="591"/>
      <c r="H1085" s="592"/>
      <c r="I1085" s="631">
        <v>22.97</v>
      </c>
      <c r="J1085" s="631">
        <f t="shared" si="349"/>
        <v>22.97</v>
      </c>
      <c r="K1085" s="593">
        <f t="shared" si="346"/>
        <v>29.11</v>
      </c>
      <c r="L1085" s="382" t="s">
        <v>21</v>
      </c>
      <c r="M1085" s="30"/>
      <c r="N1085" s="30">
        <v>29.11</v>
      </c>
      <c r="O1085" s="287">
        <f t="shared" si="347"/>
        <v>0</v>
      </c>
      <c r="P1085" s="287">
        <f t="shared" si="348"/>
        <v>0</v>
      </c>
      <c r="Q1085" s="288"/>
      <c r="R1085" s="243"/>
      <c r="S1085" s="378" t="str">
        <f t="shared" si="345"/>
        <v/>
      </c>
      <c r="U1085" s="722"/>
    </row>
    <row r="1086" spans="2:21" ht="25.5" hidden="1" x14ac:dyDescent="0.2">
      <c r="B1086" s="595">
        <v>91904</v>
      </c>
      <c r="C1086" s="596" t="s">
        <v>817</v>
      </c>
      <c r="D1086" s="597" t="s">
        <v>1179</v>
      </c>
      <c r="E1086" s="589"/>
      <c r="F1086" s="590"/>
      <c r="G1086" s="591"/>
      <c r="H1086" s="592"/>
      <c r="I1086" s="631">
        <v>17.23</v>
      </c>
      <c r="J1086" s="631">
        <f t="shared" si="349"/>
        <v>17.23</v>
      </c>
      <c r="K1086" s="593">
        <f t="shared" si="346"/>
        <v>21.84</v>
      </c>
      <c r="L1086" s="382" t="s">
        <v>21</v>
      </c>
      <c r="M1086" s="30"/>
      <c r="N1086" s="30">
        <v>21.84</v>
      </c>
      <c r="O1086" s="287">
        <f t="shared" si="347"/>
        <v>0</v>
      </c>
      <c r="P1086" s="287">
        <f t="shared" si="348"/>
        <v>0</v>
      </c>
      <c r="Q1086" s="288"/>
      <c r="R1086" s="243"/>
      <c r="S1086" s="378" t="str">
        <f t="shared" si="345"/>
        <v/>
      </c>
      <c r="U1086" s="722"/>
    </row>
    <row r="1087" spans="2:21" ht="25.5" hidden="1" x14ac:dyDescent="0.2">
      <c r="B1087" s="595">
        <v>91905</v>
      </c>
      <c r="C1087" s="596" t="s">
        <v>817</v>
      </c>
      <c r="D1087" s="597" t="s">
        <v>1180</v>
      </c>
      <c r="E1087" s="589"/>
      <c r="F1087" s="590"/>
      <c r="G1087" s="591"/>
      <c r="H1087" s="592"/>
      <c r="I1087" s="631">
        <v>18.899999999999999</v>
      </c>
      <c r="J1087" s="631">
        <f t="shared" si="349"/>
        <v>18.899999999999999</v>
      </c>
      <c r="K1087" s="593">
        <f t="shared" si="346"/>
        <v>23.96</v>
      </c>
      <c r="L1087" s="382" t="s">
        <v>21</v>
      </c>
      <c r="M1087" s="30"/>
      <c r="N1087" s="30">
        <v>23.96</v>
      </c>
      <c r="O1087" s="287">
        <f t="shared" si="347"/>
        <v>0</v>
      </c>
      <c r="P1087" s="287">
        <f t="shared" si="348"/>
        <v>0</v>
      </c>
      <c r="Q1087" s="288"/>
      <c r="R1087" s="243"/>
      <c r="S1087" s="378" t="str">
        <f t="shared" ref="S1087:S1150" si="350">IF(R1087="x","x",IF(R1087="y","x",IF(R1087="xy","x",IF(P1087&gt;0,"x",""))))</f>
        <v/>
      </c>
      <c r="U1087" s="722"/>
    </row>
    <row r="1088" spans="2:21" ht="25.5" hidden="1" x14ac:dyDescent="0.2">
      <c r="B1088" s="595">
        <v>91908</v>
      </c>
      <c r="C1088" s="596" t="s">
        <v>817</v>
      </c>
      <c r="D1088" s="597" t="s">
        <v>1181</v>
      </c>
      <c r="E1088" s="589"/>
      <c r="F1088" s="590"/>
      <c r="G1088" s="591"/>
      <c r="H1088" s="592"/>
      <c r="I1088" s="631">
        <v>22.54</v>
      </c>
      <c r="J1088" s="631">
        <f t="shared" si="349"/>
        <v>22.54</v>
      </c>
      <c r="K1088" s="593">
        <f t="shared" si="346"/>
        <v>28.57</v>
      </c>
      <c r="L1088" s="382" t="s">
        <v>21</v>
      </c>
      <c r="M1088" s="30"/>
      <c r="N1088" s="30">
        <v>28.57</v>
      </c>
      <c r="O1088" s="287">
        <f t="shared" si="347"/>
        <v>0</v>
      </c>
      <c r="P1088" s="287">
        <f t="shared" si="348"/>
        <v>0</v>
      </c>
      <c r="Q1088" s="288"/>
      <c r="R1088" s="243"/>
      <c r="S1088" s="378" t="str">
        <f t="shared" si="350"/>
        <v/>
      </c>
      <c r="U1088" s="722"/>
    </row>
    <row r="1089" spans="2:21" ht="25.5" hidden="1" x14ac:dyDescent="0.2">
      <c r="B1089" s="595">
        <v>91910</v>
      </c>
      <c r="C1089" s="596" t="s">
        <v>817</v>
      </c>
      <c r="D1089" s="597" t="s">
        <v>1182</v>
      </c>
      <c r="E1089" s="589"/>
      <c r="F1089" s="590"/>
      <c r="G1089" s="591"/>
      <c r="H1089" s="592"/>
      <c r="I1089" s="631">
        <v>25.7</v>
      </c>
      <c r="J1089" s="631">
        <f t="shared" si="349"/>
        <v>25.7</v>
      </c>
      <c r="K1089" s="593">
        <f t="shared" si="346"/>
        <v>32.57</v>
      </c>
      <c r="L1089" s="382" t="s">
        <v>21</v>
      </c>
      <c r="M1089" s="30"/>
      <c r="N1089" s="30">
        <v>32.57</v>
      </c>
      <c r="O1089" s="287">
        <f t="shared" si="347"/>
        <v>0</v>
      </c>
      <c r="P1089" s="287">
        <f t="shared" si="348"/>
        <v>0</v>
      </c>
      <c r="Q1089" s="288"/>
      <c r="R1089" s="243"/>
      <c r="S1089" s="378" t="str">
        <f t="shared" si="350"/>
        <v/>
      </c>
      <c r="U1089" s="722"/>
    </row>
    <row r="1090" spans="2:21" ht="25.5" hidden="1" x14ac:dyDescent="0.2">
      <c r="B1090" s="595">
        <v>91911</v>
      </c>
      <c r="C1090" s="596" t="s">
        <v>817</v>
      </c>
      <c r="D1090" s="597" t="s">
        <v>1183</v>
      </c>
      <c r="E1090" s="589"/>
      <c r="F1090" s="590"/>
      <c r="G1090" s="591"/>
      <c r="H1090" s="592"/>
      <c r="I1090" s="631">
        <v>14.93</v>
      </c>
      <c r="J1090" s="631">
        <f t="shared" si="349"/>
        <v>14.93</v>
      </c>
      <c r="K1090" s="593">
        <f t="shared" si="346"/>
        <v>18.920000000000002</v>
      </c>
      <c r="L1090" s="382" t="s">
        <v>21</v>
      </c>
      <c r="M1090" s="30"/>
      <c r="N1090" s="30">
        <v>18.920000000000002</v>
      </c>
      <c r="O1090" s="287">
        <f t="shared" si="347"/>
        <v>0</v>
      </c>
      <c r="P1090" s="287">
        <f t="shared" si="348"/>
        <v>0</v>
      </c>
      <c r="Q1090" s="288"/>
      <c r="R1090" s="243"/>
      <c r="S1090" s="378" t="str">
        <f t="shared" si="350"/>
        <v/>
      </c>
      <c r="U1090" s="722"/>
    </row>
    <row r="1091" spans="2:21" ht="25.5" hidden="1" x14ac:dyDescent="0.2">
      <c r="B1091" s="595">
        <v>91913</v>
      </c>
      <c r="C1091" s="596" t="s">
        <v>817</v>
      </c>
      <c r="D1091" s="597" t="s">
        <v>1184</v>
      </c>
      <c r="E1091" s="589"/>
      <c r="F1091" s="590"/>
      <c r="G1091" s="591"/>
      <c r="H1091" s="592"/>
      <c r="I1091" s="631">
        <v>14.49</v>
      </c>
      <c r="J1091" s="631">
        <f t="shared" si="349"/>
        <v>14.49</v>
      </c>
      <c r="K1091" s="593">
        <f t="shared" si="346"/>
        <v>18.37</v>
      </c>
      <c r="L1091" s="382" t="s">
        <v>21</v>
      </c>
      <c r="M1091" s="30"/>
      <c r="N1091" s="30">
        <v>18.37</v>
      </c>
      <c r="O1091" s="287">
        <f t="shared" si="347"/>
        <v>0</v>
      </c>
      <c r="P1091" s="287">
        <f t="shared" si="348"/>
        <v>0</v>
      </c>
      <c r="Q1091" s="288"/>
      <c r="R1091" s="243"/>
      <c r="S1091" s="378" t="str">
        <f t="shared" si="350"/>
        <v/>
      </c>
      <c r="U1091" s="722"/>
    </row>
    <row r="1092" spans="2:21" ht="25.5" hidden="1" x14ac:dyDescent="0.2">
      <c r="B1092" s="595">
        <v>91914</v>
      </c>
      <c r="C1092" s="596" t="s">
        <v>817</v>
      </c>
      <c r="D1092" s="597" t="s">
        <v>1185</v>
      </c>
      <c r="E1092" s="589"/>
      <c r="F1092" s="590"/>
      <c r="G1092" s="591"/>
      <c r="H1092" s="592"/>
      <c r="I1092" s="631">
        <v>16.2</v>
      </c>
      <c r="J1092" s="631">
        <f t="shared" si="349"/>
        <v>16.2</v>
      </c>
      <c r="K1092" s="593">
        <f t="shared" si="346"/>
        <v>20.53</v>
      </c>
      <c r="L1092" s="382" t="s">
        <v>21</v>
      </c>
      <c r="M1092" s="30"/>
      <c r="N1092" s="30">
        <v>20.53</v>
      </c>
      <c r="O1092" s="287">
        <f t="shared" si="347"/>
        <v>0</v>
      </c>
      <c r="P1092" s="287">
        <f t="shared" si="348"/>
        <v>0</v>
      </c>
      <c r="Q1092" s="288"/>
      <c r="R1092" s="243"/>
      <c r="S1092" s="378" t="str">
        <f t="shared" si="350"/>
        <v/>
      </c>
      <c r="U1092" s="722"/>
    </row>
    <row r="1093" spans="2:21" ht="25.5" hidden="1" x14ac:dyDescent="0.2">
      <c r="B1093" s="595">
        <v>91916</v>
      </c>
      <c r="C1093" s="596" t="s">
        <v>817</v>
      </c>
      <c r="D1093" s="597" t="s">
        <v>1186</v>
      </c>
      <c r="E1093" s="589"/>
      <c r="F1093" s="590"/>
      <c r="G1093" s="591"/>
      <c r="H1093" s="592"/>
      <c r="I1093" s="631">
        <v>19.11</v>
      </c>
      <c r="J1093" s="631">
        <f t="shared" si="349"/>
        <v>19.11</v>
      </c>
      <c r="K1093" s="593">
        <f t="shared" si="346"/>
        <v>24.22</v>
      </c>
      <c r="L1093" s="382" t="s">
        <v>21</v>
      </c>
      <c r="M1093" s="30"/>
      <c r="N1093" s="30">
        <v>24.22</v>
      </c>
      <c r="O1093" s="287">
        <f t="shared" si="347"/>
        <v>0</v>
      </c>
      <c r="P1093" s="287">
        <f t="shared" si="348"/>
        <v>0</v>
      </c>
      <c r="Q1093" s="288"/>
      <c r="R1093" s="243"/>
      <c r="S1093" s="378" t="str">
        <f t="shared" si="350"/>
        <v/>
      </c>
      <c r="U1093" s="722"/>
    </row>
    <row r="1094" spans="2:21" ht="25.5" hidden="1" x14ac:dyDescent="0.2">
      <c r="B1094" s="595">
        <v>91917</v>
      </c>
      <c r="C1094" s="596" t="s">
        <v>817</v>
      </c>
      <c r="D1094" s="597" t="s">
        <v>1187</v>
      </c>
      <c r="E1094" s="589"/>
      <c r="F1094" s="590"/>
      <c r="G1094" s="591"/>
      <c r="H1094" s="592"/>
      <c r="I1094" s="631">
        <v>20.02</v>
      </c>
      <c r="J1094" s="631">
        <f t="shared" si="349"/>
        <v>20.02</v>
      </c>
      <c r="K1094" s="593">
        <f t="shared" ref="K1094:K1157" si="351">IF(ISBLANK(I1094),0,ROUND(J1094*(1+$F$10)*(1+$F$11*E1094),2))</f>
        <v>25.38</v>
      </c>
      <c r="L1094" s="382" t="s">
        <v>21</v>
      </c>
      <c r="M1094" s="30"/>
      <c r="N1094" s="30">
        <v>25.38</v>
      </c>
      <c r="O1094" s="287">
        <f t="shared" ref="O1094:O1157" si="352">IF(ISBLANK(M1094),0,ROUND(K1094*M1094,2))</f>
        <v>0</v>
      </c>
      <c r="P1094" s="287">
        <f t="shared" ref="P1094:P1157" si="353">IF(ISBLANK(N1094),0,ROUND(M1094*N1094,2))</f>
        <v>0</v>
      </c>
      <c r="Q1094" s="288"/>
      <c r="R1094" s="243"/>
      <c r="S1094" s="378" t="str">
        <f t="shared" si="350"/>
        <v/>
      </c>
      <c r="U1094" s="722"/>
    </row>
    <row r="1095" spans="2:21" ht="25.5" hidden="1" x14ac:dyDescent="0.2">
      <c r="B1095" s="595">
        <v>91920</v>
      </c>
      <c r="C1095" s="596" t="s">
        <v>817</v>
      </c>
      <c r="D1095" s="597" t="s">
        <v>1188</v>
      </c>
      <c r="E1095" s="589"/>
      <c r="F1095" s="590"/>
      <c r="G1095" s="591"/>
      <c r="H1095" s="592"/>
      <c r="I1095" s="631">
        <v>22.79</v>
      </c>
      <c r="J1095" s="631">
        <f t="shared" si="349"/>
        <v>22.79</v>
      </c>
      <c r="K1095" s="593">
        <f t="shared" si="351"/>
        <v>28.89</v>
      </c>
      <c r="L1095" s="382" t="s">
        <v>21</v>
      </c>
      <c r="M1095" s="30"/>
      <c r="N1095" s="30">
        <v>28.89</v>
      </c>
      <c r="O1095" s="287">
        <f t="shared" si="352"/>
        <v>0</v>
      </c>
      <c r="P1095" s="287">
        <f t="shared" si="353"/>
        <v>0</v>
      </c>
      <c r="Q1095" s="288"/>
      <c r="R1095" s="243"/>
      <c r="S1095" s="378" t="str">
        <f t="shared" si="350"/>
        <v/>
      </c>
      <c r="U1095" s="722"/>
    </row>
    <row r="1096" spans="2:21" ht="25.5" hidden="1" x14ac:dyDescent="0.2">
      <c r="B1096" s="595">
        <v>91922</v>
      </c>
      <c r="C1096" s="596" t="s">
        <v>817</v>
      </c>
      <c r="D1096" s="597" t="s">
        <v>1189</v>
      </c>
      <c r="E1096" s="589"/>
      <c r="F1096" s="590"/>
      <c r="G1096" s="591"/>
      <c r="H1096" s="592"/>
      <c r="I1096" s="631">
        <v>25.95</v>
      </c>
      <c r="J1096" s="631">
        <f t="shared" si="349"/>
        <v>25.95</v>
      </c>
      <c r="K1096" s="593">
        <f t="shared" si="351"/>
        <v>32.89</v>
      </c>
      <c r="L1096" s="382" t="s">
        <v>21</v>
      </c>
      <c r="M1096" s="30"/>
      <c r="N1096" s="30">
        <v>32.89</v>
      </c>
      <c r="O1096" s="287">
        <f t="shared" si="352"/>
        <v>0</v>
      </c>
      <c r="P1096" s="287">
        <f t="shared" si="353"/>
        <v>0</v>
      </c>
      <c r="Q1096" s="288"/>
      <c r="R1096" s="243"/>
      <c r="S1096" s="378" t="str">
        <f t="shared" si="350"/>
        <v/>
      </c>
      <c r="U1096" s="722"/>
    </row>
    <row r="1097" spans="2:21" ht="25.5" hidden="1" x14ac:dyDescent="0.2">
      <c r="B1097" s="595">
        <v>93013</v>
      </c>
      <c r="C1097" s="596" t="s">
        <v>817</v>
      </c>
      <c r="D1097" s="597" t="s">
        <v>1190</v>
      </c>
      <c r="E1097" s="589"/>
      <c r="F1097" s="590"/>
      <c r="G1097" s="591"/>
      <c r="H1097" s="592"/>
      <c r="I1097" s="631">
        <v>16.64</v>
      </c>
      <c r="J1097" s="631">
        <f t="shared" si="349"/>
        <v>16.64</v>
      </c>
      <c r="K1097" s="593">
        <f t="shared" si="351"/>
        <v>21.09</v>
      </c>
      <c r="L1097" s="382" t="s">
        <v>21</v>
      </c>
      <c r="M1097" s="30"/>
      <c r="N1097" s="30">
        <v>21.09</v>
      </c>
      <c r="O1097" s="287">
        <f t="shared" si="352"/>
        <v>0</v>
      </c>
      <c r="P1097" s="287">
        <f t="shared" si="353"/>
        <v>0</v>
      </c>
      <c r="Q1097" s="288"/>
      <c r="R1097" s="243"/>
      <c r="S1097" s="378" t="str">
        <f t="shared" si="350"/>
        <v/>
      </c>
      <c r="U1097" s="722"/>
    </row>
    <row r="1098" spans="2:21" hidden="1" x14ac:dyDescent="0.2">
      <c r="B1098" s="595">
        <v>93014</v>
      </c>
      <c r="C1098" s="596" t="s">
        <v>817</v>
      </c>
      <c r="D1098" s="597" t="s">
        <v>1191</v>
      </c>
      <c r="E1098" s="589"/>
      <c r="F1098" s="590"/>
      <c r="G1098" s="591"/>
      <c r="H1098" s="592"/>
      <c r="I1098" s="631">
        <v>20.69</v>
      </c>
      <c r="J1098" s="631">
        <f t="shared" si="349"/>
        <v>20.69</v>
      </c>
      <c r="K1098" s="593">
        <f t="shared" si="351"/>
        <v>26.22</v>
      </c>
      <c r="L1098" s="382" t="s">
        <v>21</v>
      </c>
      <c r="M1098" s="30"/>
      <c r="N1098" s="30">
        <v>26.22</v>
      </c>
      <c r="O1098" s="287">
        <f t="shared" si="352"/>
        <v>0</v>
      </c>
      <c r="P1098" s="287">
        <f t="shared" si="353"/>
        <v>0</v>
      </c>
      <c r="Q1098" s="288"/>
      <c r="R1098" s="243"/>
      <c r="S1098" s="378" t="str">
        <f t="shared" si="350"/>
        <v/>
      </c>
      <c r="U1098" s="722"/>
    </row>
    <row r="1099" spans="2:21" ht="25.5" hidden="1" x14ac:dyDescent="0.2">
      <c r="B1099" s="595">
        <v>93015</v>
      </c>
      <c r="C1099" s="596" t="s">
        <v>817</v>
      </c>
      <c r="D1099" s="597" t="s">
        <v>1192</v>
      </c>
      <c r="E1099" s="589"/>
      <c r="F1099" s="590"/>
      <c r="G1099" s="591"/>
      <c r="H1099" s="592"/>
      <c r="I1099" s="631">
        <v>32.56</v>
      </c>
      <c r="J1099" s="631">
        <f t="shared" si="349"/>
        <v>32.56</v>
      </c>
      <c r="K1099" s="593">
        <f t="shared" si="351"/>
        <v>41.27</v>
      </c>
      <c r="L1099" s="382" t="s">
        <v>21</v>
      </c>
      <c r="M1099" s="30"/>
      <c r="N1099" s="30">
        <v>41.27</v>
      </c>
      <c r="O1099" s="287">
        <f t="shared" si="352"/>
        <v>0</v>
      </c>
      <c r="P1099" s="287">
        <f t="shared" si="353"/>
        <v>0</v>
      </c>
      <c r="Q1099" s="288"/>
      <c r="R1099" s="243"/>
      <c r="S1099" s="378" t="str">
        <f t="shared" si="350"/>
        <v/>
      </c>
      <c r="U1099" s="722"/>
    </row>
    <row r="1100" spans="2:21" hidden="1" x14ac:dyDescent="0.2">
      <c r="B1100" s="595">
        <v>93016</v>
      </c>
      <c r="C1100" s="596" t="s">
        <v>817</v>
      </c>
      <c r="D1100" s="597" t="s">
        <v>1193</v>
      </c>
      <c r="E1100" s="589"/>
      <c r="F1100" s="590"/>
      <c r="G1100" s="591"/>
      <c r="H1100" s="592"/>
      <c r="I1100" s="631">
        <v>40.049999999999997</v>
      </c>
      <c r="J1100" s="631">
        <f t="shared" si="349"/>
        <v>40.049999999999997</v>
      </c>
      <c r="K1100" s="593">
        <f t="shared" si="351"/>
        <v>50.76</v>
      </c>
      <c r="L1100" s="382" t="s">
        <v>21</v>
      </c>
      <c r="M1100" s="30"/>
      <c r="N1100" s="30">
        <v>50.76</v>
      </c>
      <c r="O1100" s="287">
        <f t="shared" si="352"/>
        <v>0</v>
      </c>
      <c r="P1100" s="287">
        <f t="shared" si="353"/>
        <v>0</v>
      </c>
      <c r="Q1100" s="288"/>
      <c r="R1100" s="243"/>
      <c r="S1100" s="378" t="str">
        <f t="shared" si="350"/>
        <v/>
      </c>
      <c r="U1100" s="722"/>
    </row>
    <row r="1101" spans="2:21" ht="25.5" hidden="1" x14ac:dyDescent="0.2">
      <c r="B1101" s="595">
        <v>93017</v>
      </c>
      <c r="C1101" s="596" t="s">
        <v>817</v>
      </c>
      <c r="D1101" s="597" t="s">
        <v>1194</v>
      </c>
      <c r="E1101" s="589"/>
      <c r="F1101" s="590"/>
      <c r="G1101" s="591"/>
      <c r="H1101" s="592"/>
      <c r="I1101" s="631">
        <v>61.5</v>
      </c>
      <c r="J1101" s="631">
        <f t="shared" si="349"/>
        <v>61.5</v>
      </c>
      <c r="K1101" s="593">
        <f t="shared" si="351"/>
        <v>77.95</v>
      </c>
      <c r="L1101" s="382" t="s">
        <v>21</v>
      </c>
      <c r="M1101" s="30"/>
      <c r="N1101" s="30">
        <v>77.95</v>
      </c>
      <c r="O1101" s="287">
        <f t="shared" si="352"/>
        <v>0</v>
      </c>
      <c r="P1101" s="287">
        <f t="shared" si="353"/>
        <v>0</v>
      </c>
      <c r="Q1101" s="288"/>
      <c r="R1101" s="243"/>
      <c r="S1101" s="378" t="str">
        <f t="shared" si="350"/>
        <v/>
      </c>
      <c r="U1101" s="722"/>
    </row>
    <row r="1102" spans="2:21" ht="25.5" hidden="1" x14ac:dyDescent="0.2">
      <c r="B1102" s="595">
        <v>93018</v>
      </c>
      <c r="C1102" s="596" t="s">
        <v>817</v>
      </c>
      <c r="D1102" s="597" t="s">
        <v>1195</v>
      </c>
      <c r="E1102" s="589"/>
      <c r="F1102" s="590"/>
      <c r="G1102" s="591"/>
      <c r="H1102" s="592"/>
      <c r="I1102" s="631">
        <v>25.51</v>
      </c>
      <c r="J1102" s="631">
        <f t="shared" si="349"/>
        <v>25.51</v>
      </c>
      <c r="K1102" s="593">
        <f t="shared" si="351"/>
        <v>32.33</v>
      </c>
      <c r="L1102" s="382" t="s">
        <v>21</v>
      </c>
      <c r="M1102" s="30"/>
      <c r="N1102" s="30">
        <v>32.33</v>
      </c>
      <c r="O1102" s="287">
        <f t="shared" si="352"/>
        <v>0</v>
      </c>
      <c r="P1102" s="287">
        <f t="shared" si="353"/>
        <v>0</v>
      </c>
      <c r="Q1102" s="288"/>
      <c r="R1102" s="243"/>
      <c r="S1102" s="378" t="str">
        <f t="shared" si="350"/>
        <v/>
      </c>
      <c r="U1102" s="722"/>
    </row>
    <row r="1103" spans="2:21" ht="25.5" hidden="1" x14ac:dyDescent="0.2">
      <c r="B1103" s="595">
        <v>93020</v>
      </c>
      <c r="C1103" s="596" t="s">
        <v>817</v>
      </c>
      <c r="D1103" s="597" t="s">
        <v>1196</v>
      </c>
      <c r="E1103" s="589"/>
      <c r="F1103" s="590"/>
      <c r="G1103" s="591"/>
      <c r="H1103" s="592"/>
      <c r="I1103" s="631">
        <v>33.31</v>
      </c>
      <c r="J1103" s="631">
        <f t="shared" si="349"/>
        <v>33.31</v>
      </c>
      <c r="K1103" s="593">
        <f t="shared" si="351"/>
        <v>42.22</v>
      </c>
      <c r="L1103" s="382" t="s">
        <v>21</v>
      </c>
      <c r="M1103" s="30"/>
      <c r="N1103" s="30">
        <v>42.22</v>
      </c>
      <c r="O1103" s="287">
        <f t="shared" si="352"/>
        <v>0</v>
      </c>
      <c r="P1103" s="287">
        <f t="shared" si="353"/>
        <v>0</v>
      </c>
      <c r="Q1103" s="288"/>
      <c r="R1103" s="243"/>
      <c r="S1103" s="378" t="str">
        <f t="shared" si="350"/>
        <v/>
      </c>
      <c r="U1103" s="722"/>
    </row>
    <row r="1104" spans="2:21" ht="25.5" hidden="1" x14ac:dyDescent="0.2">
      <c r="B1104" s="595">
        <v>93022</v>
      </c>
      <c r="C1104" s="596" t="s">
        <v>817</v>
      </c>
      <c r="D1104" s="597" t="s">
        <v>1197</v>
      </c>
      <c r="E1104" s="589"/>
      <c r="F1104" s="590"/>
      <c r="G1104" s="591"/>
      <c r="H1104" s="592"/>
      <c r="I1104" s="631">
        <v>58.35</v>
      </c>
      <c r="J1104" s="631">
        <f t="shared" si="349"/>
        <v>58.35</v>
      </c>
      <c r="K1104" s="593">
        <f t="shared" si="351"/>
        <v>73.959999999999994</v>
      </c>
      <c r="L1104" s="382" t="s">
        <v>21</v>
      </c>
      <c r="M1104" s="30"/>
      <c r="N1104" s="30">
        <v>73.959999999999994</v>
      </c>
      <c r="O1104" s="287">
        <f t="shared" si="352"/>
        <v>0</v>
      </c>
      <c r="P1104" s="287">
        <f t="shared" si="353"/>
        <v>0</v>
      </c>
      <c r="Q1104" s="288"/>
      <c r="R1104" s="243"/>
      <c r="S1104" s="378" t="str">
        <f t="shared" si="350"/>
        <v/>
      </c>
      <c r="U1104" s="722"/>
    </row>
    <row r="1105" spans="2:21" ht="25.5" hidden="1" x14ac:dyDescent="0.2">
      <c r="B1105" s="595">
        <v>93024</v>
      </c>
      <c r="C1105" s="596" t="s">
        <v>817</v>
      </c>
      <c r="D1105" s="597" t="s">
        <v>1198</v>
      </c>
      <c r="E1105" s="589"/>
      <c r="F1105" s="590"/>
      <c r="G1105" s="591"/>
      <c r="H1105" s="592"/>
      <c r="I1105" s="631">
        <v>60.97</v>
      </c>
      <c r="J1105" s="631">
        <f t="shared" si="349"/>
        <v>60.97</v>
      </c>
      <c r="K1105" s="593">
        <f t="shared" si="351"/>
        <v>77.28</v>
      </c>
      <c r="L1105" s="382" t="s">
        <v>21</v>
      </c>
      <c r="M1105" s="30"/>
      <c r="N1105" s="30">
        <v>77.28</v>
      </c>
      <c r="O1105" s="287">
        <f t="shared" si="352"/>
        <v>0</v>
      </c>
      <c r="P1105" s="287">
        <f t="shared" si="353"/>
        <v>0</v>
      </c>
      <c r="Q1105" s="288"/>
      <c r="R1105" s="243"/>
      <c r="S1105" s="378" t="str">
        <f t="shared" si="350"/>
        <v/>
      </c>
      <c r="U1105" s="722"/>
    </row>
    <row r="1106" spans="2:21" ht="25.5" hidden="1" x14ac:dyDescent="0.2">
      <c r="B1106" s="595">
        <v>93026</v>
      </c>
      <c r="C1106" s="596" t="s">
        <v>817</v>
      </c>
      <c r="D1106" s="597" t="s">
        <v>1199</v>
      </c>
      <c r="E1106" s="589"/>
      <c r="F1106" s="590"/>
      <c r="G1106" s="591"/>
      <c r="H1106" s="592"/>
      <c r="I1106" s="631">
        <v>102.6</v>
      </c>
      <c r="J1106" s="631">
        <f t="shared" si="349"/>
        <v>102.6</v>
      </c>
      <c r="K1106" s="593">
        <f t="shared" si="351"/>
        <v>130.05000000000001</v>
      </c>
      <c r="L1106" s="382" t="s">
        <v>21</v>
      </c>
      <c r="M1106" s="30"/>
      <c r="N1106" s="30">
        <v>130.05000000000001</v>
      </c>
      <c r="O1106" s="287">
        <f t="shared" si="352"/>
        <v>0</v>
      </c>
      <c r="P1106" s="287">
        <f t="shared" si="353"/>
        <v>0</v>
      </c>
      <c r="Q1106" s="288"/>
      <c r="R1106" s="243"/>
      <c r="S1106" s="378" t="str">
        <f t="shared" si="350"/>
        <v/>
      </c>
      <c r="U1106" s="722"/>
    </row>
    <row r="1107" spans="2:21" ht="25.5" hidden="1" x14ac:dyDescent="0.2">
      <c r="B1107" s="595">
        <v>97559</v>
      </c>
      <c r="C1107" s="596" t="s">
        <v>817</v>
      </c>
      <c r="D1107" s="597" t="s">
        <v>1200</v>
      </c>
      <c r="E1107" s="589"/>
      <c r="F1107" s="590"/>
      <c r="G1107" s="591"/>
      <c r="H1107" s="592"/>
      <c r="I1107" s="631">
        <v>11.86</v>
      </c>
      <c r="J1107" s="631">
        <f t="shared" si="349"/>
        <v>11.86</v>
      </c>
      <c r="K1107" s="593">
        <f t="shared" si="351"/>
        <v>15.03</v>
      </c>
      <c r="L1107" s="382" t="s">
        <v>21</v>
      </c>
      <c r="M1107" s="30"/>
      <c r="N1107" s="30">
        <v>15.03</v>
      </c>
      <c r="O1107" s="287">
        <f t="shared" si="352"/>
        <v>0</v>
      </c>
      <c r="P1107" s="287">
        <f t="shared" si="353"/>
        <v>0</v>
      </c>
      <c r="Q1107" s="288"/>
      <c r="R1107" s="243"/>
      <c r="S1107" s="378" t="str">
        <f t="shared" si="350"/>
        <v/>
      </c>
      <c r="U1107" s="722"/>
    </row>
    <row r="1108" spans="2:21" ht="25.5" hidden="1" x14ac:dyDescent="0.2">
      <c r="B1108" s="595">
        <v>97562</v>
      </c>
      <c r="C1108" s="596" t="s">
        <v>817</v>
      </c>
      <c r="D1108" s="597" t="s">
        <v>1201</v>
      </c>
      <c r="E1108" s="589"/>
      <c r="F1108" s="590"/>
      <c r="G1108" s="591"/>
      <c r="H1108" s="592"/>
      <c r="I1108" s="631">
        <v>14</v>
      </c>
      <c r="J1108" s="631">
        <f t="shared" si="349"/>
        <v>14</v>
      </c>
      <c r="K1108" s="593">
        <f t="shared" si="351"/>
        <v>17.75</v>
      </c>
      <c r="L1108" s="382" t="s">
        <v>21</v>
      </c>
      <c r="M1108" s="30"/>
      <c r="N1108" s="30">
        <v>17.75</v>
      </c>
      <c r="O1108" s="287">
        <f t="shared" si="352"/>
        <v>0</v>
      </c>
      <c r="P1108" s="287">
        <f t="shared" si="353"/>
        <v>0</v>
      </c>
      <c r="Q1108" s="288"/>
      <c r="R1108" s="243"/>
      <c r="S1108" s="378" t="str">
        <f t="shared" si="350"/>
        <v/>
      </c>
      <c r="U1108" s="722"/>
    </row>
    <row r="1109" spans="2:21" ht="25.5" hidden="1" x14ac:dyDescent="0.2">
      <c r="B1109" s="595">
        <v>97564</v>
      </c>
      <c r="C1109" s="596" t="s">
        <v>817</v>
      </c>
      <c r="D1109" s="597" t="s">
        <v>1202</v>
      </c>
      <c r="E1109" s="589"/>
      <c r="F1109" s="590"/>
      <c r="G1109" s="591"/>
      <c r="H1109" s="592"/>
      <c r="I1109" s="631">
        <v>15.88</v>
      </c>
      <c r="J1109" s="631">
        <f t="shared" si="349"/>
        <v>15.88</v>
      </c>
      <c r="K1109" s="593">
        <f t="shared" si="351"/>
        <v>20.13</v>
      </c>
      <c r="L1109" s="382" t="s">
        <v>21</v>
      </c>
      <c r="M1109" s="30"/>
      <c r="N1109" s="30">
        <v>20.13</v>
      </c>
      <c r="O1109" s="287">
        <f t="shared" si="352"/>
        <v>0</v>
      </c>
      <c r="P1109" s="287">
        <f t="shared" si="353"/>
        <v>0</v>
      </c>
      <c r="Q1109" s="288"/>
      <c r="R1109" s="243"/>
      <c r="S1109" s="378" t="str">
        <f t="shared" si="350"/>
        <v/>
      </c>
      <c r="U1109" s="722"/>
    </row>
    <row r="1110" spans="2:21" ht="25.5" hidden="1" x14ac:dyDescent="0.2">
      <c r="B1110" s="595">
        <v>91862</v>
      </c>
      <c r="C1110" s="596" t="s">
        <v>817</v>
      </c>
      <c r="D1110" s="597" t="s">
        <v>1203</v>
      </c>
      <c r="E1110" s="589"/>
      <c r="F1110" s="590"/>
      <c r="G1110" s="591"/>
      <c r="H1110" s="592"/>
      <c r="I1110" s="631">
        <v>11.04</v>
      </c>
      <c r="J1110" s="631">
        <f t="shared" si="349"/>
        <v>11.04</v>
      </c>
      <c r="K1110" s="593">
        <f t="shared" si="351"/>
        <v>13.99</v>
      </c>
      <c r="L1110" s="382" t="s">
        <v>19</v>
      </c>
      <c r="M1110" s="30"/>
      <c r="N1110" s="30">
        <v>13.99</v>
      </c>
      <c r="O1110" s="287">
        <f t="shared" si="352"/>
        <v>0</v>
      </c>
      <c r="P1110" s="287">
        <f t="shared" si="353"/>
        <v>0</v>
      </c>
      <c r="Q1110" s="288"/>
      <c r="R1110" s="243"/>
      <c r="S1110" s="378" t="str">
        <f t="shared" si="350"/>
        <v/>
      </c>
      <c r="U1110" s="722"/>
    </row>
    <row r="1111" spans="2:21" ht="25.5" hidden="1" x14ac:dyDescent="0.2">
      <c r="B1111" s="595">
        <v>91863</v>
      </c>
      <c r="C1111" s="596" t="s">
        <v>817</v>
      </c>
      <c r="D1111" s="597" t="s">
        <v>1204</v>
      </c>
      <c r="E1111" s="589"/>
      <c r="F1111" s="590"/>
      <c r="G1111" s="591"/>
      <c r="H1111" s="592"/>
      <c r="I1111" s="631">
        <v>13.05</v>
      </c>
      <c r="J1111" s="631">
        <f t="shared" si="349"/>
        <v>13.05</v>
      </c>
      <c r="K1111" s="593">
        <f t="shared" si="351"/>
        <v>16.54</v>
      </c>
      <c r="L1111" s="382" t="s">
        <v>19</v>
      </c>
      <c r="M1111" s="30"/>
      <c r="N1111" s="30">
        <v>16.54</v>
      </c>
      <c r="O1111" s="287">
        <f t="shared" si="352"/>
        <v>0</v>
      </c>
      <c r="P1111" s="287">
        <f t="shared" si="353"/>
        <v>0</v>
      </c>
      <c r="Q1111" s="288"/>
      <c r="R1111" s="243"/>
      <c r="S1111" s="378" t="str">
        <f t="shared" si="350"/>
        <v/>
      </c>
      <c r="U1111" s="722"/>
    </row>
    <row r="1112" spans="2:21" ht="25.5" hidden="1" x14ac:dyDescent="0.2">
      <c r="B1112" s="595">
        <v>91864</v>
      </c>
      <c r="C1112" s="596" t="s">
        <v>817</v>
      </c>
      <c r="D1112" s="597" t="s">
        <v>1205</v>
      </c>
      <c r="E1112" s="589"/>
      <c r="F1112" s="590"/>
      <c r="G1112" s="591"/>
      <c r="H1112" s="592"/>
      <c r="I1112" s="631">
        <v>17.53</v>
      </c>
      <c r="J1112" s="631">
        <f t="shared" si="349"/>
        <v>17.53</v>
      </c>
      <c r="K1112" s="593">
        <f t="shared" si="351"/>
        <v>22.22</v>
      </c>
      <c r="L1112" s="382" t="s">
        <v>19</v>
      </c>
      <c r="M1112" s="30"/>
      <c r="N1112" s="30">
        <v>22.22</v>
      </c>
      <c r="O1112" s="287">
        <f t="shared" si="352"/>
        <v>0</v>
      </c>
      <c r="P1112" s="287">
        <f t="shared" si="353"/>
        <v>0</v>
      </c>
      <c r="Q1112" s="288"/>
      <c r="R1112" s="243"/>
      <c r="S1112" s="378" t="str">
        <f t="shared" si="350"/>
        <v/>
      </c>
      <c r="U1112" s="722"/>
    </row>
    <row r="1113" spans="2:21" ht="25.5" hidden="1" x14ac:dyDescent="0.2">
      <c r="B1113" s="595">
        <v>91865</v>
      </c>
      <c r="C1113" s="596" t="s">
        <v>817</v>
      </c>
      <c r="D1113" s="597" t="s">
        <v>1206</v>
      </c>
      <c r="E1113" s="589"/>
      <c r="F1113" s="590"/>
      <c r="G1113" s="591"/>
      <c r="H1113" s="592"/>
      <c r="I1113" s="631">
        <v>21.95</v>
      </c>
      <c r="J1113" s="631">
        <f t="shared" si="349"/>
        <v>21.95</v>
      </c>
      <c r="K1113" s="593">
        <f t="shared" si="351"/>
        <v>27.82</v>
      </c>
      <c r="L1113" s="382" t="s">
        <v>19</v>
      </c>
      <c r="M1113" s="30"/>
      <c r="N1113" s="30">
        <v>27.82</v>
      </c>
      <c r="O1113" s="287">
        <f t="shared" si="352"/>
        <v>0</v>
      </c>
      <c r="P1113" s="287">
        <f t="shared" si="353"/>
        <v>0</v>
      </c>
      <c r="Q1113" s="288"/>
      <c r="R1113" s="243"/>
      <c r="S1113" s="378" t="str">
        <f t="shared" si="350"/>
        <v/>
      </c>
      <c r="U1113" s="722"/>
    </row>
    <row r="1114" spans="2:21" ht="25.5" hidden="1" x14ac:dyDescent="0.2">
      <c r="B1114" s="595">
        <v>91866</v>
      </c>
      <c r="C1114" s="596" t="s">
        <v>817</v>
      </c>
      <c r="D1114" s="597" t="s">
        <v>1207</v>
      </c>
      <c r="E1114" s="589"/>
      <c r="F1114" s="590"/>
      <c r="G1114" s="591"/>
      <c r="H1114" s="592"/>
      <c r="I1114" s="631">
        <v>8.99</v>
      </c>
      <c r="J1114" s="631">
        <f t="shared" si="349"/>
        <v>8.99</v>
      </c>
      <c r="K1114" s="593">
        <f t="shared" si="351"/>
        <v>11.39</v>
      </c>
      <c r="L1114" s="382" t="s">
        <v>19</v>
      </c>
      <c r="M1114" s="30"/>
      <c r="N1114" s="30">
        <v>11.39</v>
      </c>
      <c r="O1114" s="287">
        <f t="shared" si="352"/>
        <v>0</v>
      </c>
      <c r="P1114" s="287">
        <f t="shared" si="353"/>
        <v>0</v>
      </c>
      <c r="Q1114" s="288"/>
      <c r="R1114" s="243"/>
      <c r="S1114" s="378" t="str">
        <f t="shared" si="350"/>
        <v/>
      </c>
      <c r="U1114" s="722"/>
    </row>
    <row r="1115" spans="2:21" ht="25.5" hidden="1" x14ac:dyDescent="0.2">
      <c r="B1115" s="595">
        <v>91867</v>
      </c>
      <c r="C1115" s="596" t="s">
        <v>817</v>
      </c>
      <c r="D1115" s="597" t="s">
        <v>1208</v>
      </c>
      <c r="E1115" s="589"/>
      <c r="F1115" s="590"/>
      <c r="G1115" s="591"/>
      <c r="H1115" s="592"/>
      <c r="I1115" s="631">
        <v>11</v>
      </c>
      <c r="J1115" s="631">
        <f t="shared" si="349"/>
        <v>11</v>
      </c>
      <c r="K1115" s="593">
        <f t="shared" si="351"/>
        <v>13.94</v>
      </c>
      <c r="L1115" s="382" t="s">
        <v>19</v>
      </c>
      <c r="M1115" s="30"/>
      <c r="N1115" s="30">
        <v>13.94</v>
      </c>
      <c r="O1115" s="287">
        <f t="shared" si="352"/>
        <v>0</v>
      </c>
      <c r="P1115" s="287">
        <f t="shared" si="353"/>
        <v>0</v>
      </c>
      <c r="Q1115" s="288"/>
      <c r="R1115" s="243"/>
      <c r="S1115" s="378" t="str">
        <f t="shared" si="350"/>
        <v/>
      </c>
      <c r="U1115" s="722"/>
    </row>
    <row r="1116" spans="2:21" ht="25.5" hidden="1" x14ac:dyDescent="0.2">
      <c r="B1116" s="595">
        <v>91868</v>
      </c>
      <c r="C1116" s="596" t="s">
        <v>817</v>
      </c>
      <c r="D1116" s="597" t="s">
        <v>1209</v>
      </c>
      <c r="E1116" s="589"/>
      <c r="F1116" s="590"/>
      <c r="G1116" s="591"/>
      <c r="H1116" s="592"/>
      <c r="I1116" s="631">
        <v>15.48</v>
      </c>
      <c r="J1116" s="631">
        <f t="shared" si="349"/>
        <v>15.48</v>
      </c>
      <c r="K1116" s="593">
        <f t="shared" si="351"/>
        <v>19.62</v>
      </c>
      <c r="L1116" s="382" t="s">
        <v>19</v>
      </c>
      <c r="M1116" s="30"/>
      <c r="N1116" s="30">
        <v>19.62</v>
      </c>
      <c r="O1116" s="287">
        <f t="shared" si="352"/>
        <v>0</v>
      </c>
      <c r="P1116" s="287">
        <f t="shared" si="353"/>
        <v>0</v>
      </c>
      <c r="Q1116" s="288"/>
      <c r="R1116" s="243"/>
      <c r="S1116" s="378" t="str">
        <f t="shared" si="350"/>
        <v/>
      </c>
      <c r="U1116" s="722"/>
    </row>
    <row r="1117" spans="2:21" ht="25.5" hidden="1" x14ac:dyDescent="0.2">
      <c r="B1117" s="595">
        <v>91869</v>
      </c>
      <c r="C1117" s="596" t="s">
        <v>817</v>
      </c>
      <c r="D1117" s="597" t="s">
        <v>1210</v>
      </c>
      <c r="E1117" s="589"/>
      <c r="F1117" s="590"/>
      <c r="G1117" s="591"/>
      <c r="H1117" s="592"/>
      <c r="I1117" s="631">
        <v>19.91</v>
      </c>
      <c r="J1117" s="631">
        <f t="shared" si="349"/>
        <v>19.91</v>
      </c>
      <c r="K1117" s="593">
        <f t="shared" si="351"/>
        <v>25.24</v>
      </c>
      <c r="L1117" s="382" t="s">
        <v>19</v>
      </c>
      <c r="M1117" s="30"/>
      <c r="N1117" s="30">
        <v>25.24</v>
      </c>
      <c r="O1117" s="287">
        <f t="shared" si="352"/>
        <v>0</v>
      </c>
      <c r="P1117" s="287">
        <f t="shared" si="353"/>
        <v>0</v>
      </c>
      <c r="Q1117" s="288"/>
      <c r="R1117" s="243"/>
      <c r="S1117" s="378" t="str">
        <f t="shared" si="350"/>
        <v/>
      </c>
      <c r="U1117" s="722"/>
    </row>
    <row r="1118" spans="2:21" ht="25.5" hidden="1" x14ac:dyDescent="0.2">
      <c r="B1118" s="595">
        <v>91870</v>
      </c>
      <c r="C1118" s="596" t="s">
        <v>817</v>
      </c>
      <c r="D1118" s="597" t="s">
        <v>1211</v>
      </c>
      <c r="E1118" s="589"/>
      <c r="F1118" s="590"/>
      <c r="G1118" s="591"/>
      <c r="H1118" s="592"/>
      <c r="I1118" s="631">
        <v>12.35</v>
      </c>
      <c r="J1118" s="631">
        <f t="shared" si="349"/>
        <v>12.35</v>
      </c>
      <c r="K1118" s="593">
        <f t="shared" si="351"/>
        <v>15.65</v>
      </c>
      <c r="L1118" s="382" t="s">
        <v>19</v>
      </c>
      <c r="M1118" s="30"/>
      <c r="N1118" s="30">
        <v>15.65</v>
      </c>
      <c r="O1118" s="287">
        <f t="shared" si="352"/>
        <v>0</v>
      </c>
      <c r="P1118" s="287">
        <f t="shared" si="353"/>
        <v>0</v>
      </c>
      <c r="Q1118" s="288"/>
      <c r="R1118" s="243"/>
      <c r="S1118" s="378" t="str">
        <f t="shared" si="350"/>
        <v/>
      </c>
      <c r="U1118" s="722"/>
    </row>
    <row r="1119" spans="2:21" ht="25.5" hidden="1" x14ac:dyDescent="0.2">
      <c r="B1119" s="595">
        <v>91871</v>
      </c>
      <c r="C1119" s="596" t="s">
        <v>817</v>
      </c>
      <c r="D1119" s="597" t="s">
        <v>1212</v>
      </c>
      <c r="E1119" s="589"/>
      <c r="F1119" s="590"/>
      <c r="G1119" s="591"/>
      <c r="H1119" s="592"/>
      <c r="I1119" s="631">
        <v>14.41</v>
      </c>
      <c r="J1119" s="631">
        <f t="shared" ref="J1119:J1175" si="354">IF(ISBLANK(I1119),"",SUM(H1119:I1119))</f>
        <v>14.41</v>
      </c>
      <c r="K1119" s="593">
        <f t="shared" si="351"/>
        <v>18.260000000000002</v>
      </c>
      <c r="L1119" s="382" t="s">
        <v>19</v>
      </c>
      <c r="M1119" s="30"/>
      <c r="N1119" s="30">
        <v>18.260000000000002</v>
      </c>
      <c r="O1119" s="287">
        <f t="shared" si="352"/>
        <v>0</v>
      </c>
      <c r="P1119" s="287">
        <f t="shared" si="353"/>
        <v>0</v>
      </c>
      <c r="Q1119" s="288"/>
      <c r="R1119" s="243"/>
      <c r="S1119" s="378" t="str">
        <f t="shared" si="350"/>
        <v/>
      </c>
      <c r="U1119" s="722"/>
    </row>
    <row r="1120" spans="2:21" ht="25.5" hidden="1" x14ac:dyDescent="0.2">
      <c r="B1120" s="595">
        <v>91872</v>
      </c>
      <c r="C1120" s="596" t="s">
        <v>817</v>
      </c>
      <c r="D1120" s="597" t="s">
        <v>1213</v>
      </c>
      <c r="E1120" s="589"/>
      <c r="F1120" s="590"/>
      <c r="G1120" s="591"/>
      <c r="H1120" s="592"/>
      <c r="I1120" s="631">
        <v>18.89</v>
      </c>
      <c r="J1120" s="631">
        <f t="shared" si="354"/>
        <v>18.89</v>
      </c>
      <c r="K1120" s="593">
        <f t="shared" si="351"/>
        <v>23.94</v>
      </c>
      <c r="L1120" s="382" t="s">
        <v>19</v>
      </c>
      <c r="M1120" s="30"/>
      <c r="N1120" s="30">
        <v>23.94</v>
      </c>
      <c r="O1120" s="287">
        <f t="shared" si="352"/>
        <v>0</v>
      </c>
      <c r="P1120" s="287">
        <f t="shared" si="353"/>
        <v>0</v>
      </c>
      <c r="Q1120" s="288"/>
      <c r="R1120" s="243"/>
      <c r="S1120" s="378" t="str">
        <f t="shared" si="350"/>
        <v/>
      </c>
      <c r="U1120" s="722"/>
    </row>
    <row r="1121" spans="2:21" ht="25.5" hidden="1" x14ac:dyDescent="0.2">
      <c r="B1121" s="595">
        <v>91873</v>
      </c>
      <c r="C1121" s="596" t="s">
        <v>817</v>
      </c>
      <c r="D1121" s="597" t="s">
        <v>1214</v>
      </c>
      <c r="E1121" s="589"/>
      <c r="F1121" s="590"/>
      <c r="G1121" s="591"/>
      <c r="H1121" s="592"/>
      <c r="I1121" s="631">
        <v>23.26</v>
      </c>
      <c r="J1121" s="631">
        <f t="shared" si="354"/>
        <v>23.26</v>
      </c>
      <c r="K1121" s="593">
        <f t="shared" si="351"/>
        <v>29.48</v>
      </c>
      <c r="L1121" s="382" t="s">
        <v>19</v>
      </c>
      <c r="M1121" s="30"/>
      <c r="N1121" s="30">
        <v>29.48</v>
      </c>
      <c r="O1121" s="287">
        <f t="shared" si="352"/>
        <v>0</v>
      </c>
      <c r="P1121" s="287">
        <f t="shared" si="353"/>
        <v>0</v>
      </c>
      <c r="Q1121" s="288"/>
      <c r="R1121" s="243"/>
      <c r="S1121" s="378" t="str">
        <f t="shared" si="350"/>
        <v/>
      </c>
      <c r="U1121" s="722"/>
    </row>
    <row r="1122" spans="2:21" hidden="1" x14ac:dyDescent="0.2">
      <c r="B1122" s="595">
        <v>93008</v>
      </c>
      <c r="C1122" s="596" t="s">
        <v>817</v>
      </c>
      <c r="D1122" s="597" t="s">
        <v>1215</v>
      </c>
      <c r="E1122" s="589"/>
      <c r="F1122" s="590"/>
      <c r="G1122" s="591"/>
      <c r="H1122" s="592"/>
      <c r="I1122" s="631">
        <v>20</v>
      </c>
      <c r="J1122" s="631">
        <f t="shared" si="354"/>
        <v>20</v>
      </c>
      <c r="K1122" s="593">
        <f t="shared" si="351"/>
        <v>25.35</v>
      </c>
      <c r="L1122" s="382" t="s">
        <v>19</v>
      </c>
      <c r="M1122" s="30"/>
      <c r="N1122" s="30">
        <v>25.35</v>
      </c>
      <c r="O1122" s="287">
        <f t="shared" si="352"/>
        <v>0</v>
      </c>
      <c r="P1122" s="287">
        <f t="shared" si="353"/>
        <v>0</v>
      </c>
      <c r="Q1122" s="288"/>
      <c r="R1122" s="243"/>
      <c r="S1122" s="378" t="str">
        <f t="shared" si="350"/>
        <v/>
      </c>
      <c r="U1122" s="722"/>
    </row>
    <row r="1123" spans="2:21" hidden="1" x14ac:dyDescent="0.2">
      <c r="B1123" s="595">
        <v>93009</v>
      </c>
      <c r="C1123" s="596" t="s">
        <v>817</v>
      </c>
      <c r="D1123" s="597" t="s">
        <v>1216</v>
      </c>
      <c r="E1123" s="589"/>
      <c r="F1123" s="590"/>
      <c r="G1123" s="591"/>
      <c r="H1123" s="592"/>
      <c r="I1123" s="631">
        <v>29.92</v>
      </c>
      <c r="J1123" s="631">
        <f t="shared" si="354"/>
        <v>29.92</v>
      </c>
      <c r="K1123" s="593">
        <f t="shared" si="351"/>
        <v>37.92</v>
      </c>
      <c r="L1123" s="382" t="s">
        <v>19</v>
      </c>
      <c r="M1123" s="30"/>
      <c r="N1123" s="30">
        <v>37.92</v>
      </c>
      <c r="O1123" s="287">
        <f t="shared" si="352"/>
        <v>0</v>
      </c>
      <c r="P1123" s="287">
        <f t="shared" si="353"/>
        <v>0</v>
      </c>
      <c r="Q1123" s="288"/>
      <c r="R1123" s="243"/>
      <c r="S1123" s="378" t="str">
        <f t="shared" si="350"/>
        <v/>
      </c>
      <c r="U1123" s="722"/>
    </row>
    <row r="1124" spans="2:21" hidden="1" x14ac:dyDescent="0.2">
      <c r="B1124" s="595">
        <v>93010</v>
      </c>
      <c r="C1124" s="596" t="s">
        <v>817</v>
      </c>
      <c r="D1124" s="597" t="s">
        <v>1217</v>
      </c>
      <c r="E1124" s="589"/>
      <c r="F1124" s="590"/>
      <c r="G1124" s="591"/>
      <c r="H1124" s="592"/>
      <c r="I1124" s="631">
        <v>41.95</v>
      </c>
      <c r="J1124" s="631">
        <f t="shared" si="354"/>
        <v>41.95</v>
      </c>
      <c r="K1124" s="593">
        <f t="shared" si="351"/>
        <v>53.17</v>
      </c>
      <c r="L1124" s="382" t="s">
        <v>19</v>
      </c>
      <c r="M1124" s="30"/>
      <c r="N1124" s="30">
        <v>53.17</v>
      </c>
      <c r="O1124" s="287">
        <f t="shared" si="352"/>
        <v>0</v>
      </c>
      <c r="P1124" s="287">
        <f t="shared" si="353"/>
        <v>0</v>
      </c>
      <c r="Q1124" s="288"/>
      <c r="R1124" s="243"/>
      <c r="S1124" s="378" t="str">
        <f t="shared" si="350"/>
        <v/>
      </c>
      <c r="U1124" s="722"/>
    </row>
    <row r="1125" spans="2:21" hidden="1" x14ac:dyDescent="0.2">
      <c r="B1125" s="595">
        <v>93011</v>
      </c>
      <c r="C1125" s="596" t="s">
        <v>817</v>
      </c>
      <c r="D1125" s="597" t="s">
        <v>1218</v>
      </c>
      <c r="E1125" s="589"/>
      <c r="F1125" s="590"/>
      <c r="G1125" s="591"/>
      <c r="H1125" s="592"/>
      <c r="I1125" s="631">
        <v>51.48</v>
      </c>
      <c r="J1125" s="631">
        <f t="shared" si="354"/>
        <v>51.48</v>
      </c>
      <c r="K1125" s="593">
        <f t="shared" si="351"/>
        <v>65.25</v>
      </c>
      <c r="L1125" s="382" t="s">
        <v>19</v>
      </c>
      <c r="M1125" s="30"/>
      <c r="N1125" s="30">
        <v>65.25</v>
      </c>
      <c r="O1125" s="287">
        <f t="shared" si="352"/>
        <v>0</v>
      </c>
      <c r="P1125" s="287">
        <f t="shared" si="353"/>
        <v>0</v>
      </c>
      <c r="Q1125" s="288"/>
      <c r="R1125" s="243"/>
      <c r="S1125" s="378" t="str">
        <f t="shared" si="350"/>
        <v/>
      </c>
      <c r="U1125" s="722"/>
    </row>
    <row r="1126" spans="2:21" hidden="1" x14ac:dyDescent="0.2">
      <c r="B1126" s="595">
        <v>93012</v>
      </c>
      <c r="C1126" s="596" t="s">
        <v>817</v>
      </c>
      <c r="D1126" s="597" t="s">
        <v>1219</v>
      </c>
      <c r="E1126" s="589"/>
      <c r="F1126" s="590"/>
      <c r="G1126" s="591"/>
      <c r="H1126" s="592"/>
      <c r="I1126" s="631">
        <v>78.25</v>
      </c>
      <c r="J1126" s="631">
        <f t="shared" si="354"/>
        <v>78.25</v>
      </c>
      <c r="K1126" s="593">
        <f t="shared" si="351"/>
        <v>99.18</v>
      </c>
      <c r="L1126" s="382" t="s">
        <v>19</v>
      </c>
      <c r="M1126" s="30"/>
      <c r="N1126" s="30">
        <v>99.18</v>
      </c>
      <c r="O1126" s="287">
        <f t="shared" si="352"/>
        <v>0</v>
      </c>
      <c r="P1126" s="287">
        <f t="shared" si="353"/>
        <v>0</v>
      </c>
      <c r="Q1126" s="288"/>
      <c r="R1126" s="243"/>
      <c r="S1126" s="378" t="str">
        <f t="shared" si="350"/>
        <v/>
      </c>
      <c r="U1126" s="722"/>
    </row>
    <row r="1127" spans="2:21" ht="25.5" hidden="1" x14ac:dyDescent="0.2">
      <c r="B1127" s="595">
        <v>95726</v>
      </c>
      <c r="C1127" s="596" t="s">
        <v>817</v>
      </c>
      <c r="D1127" s="597" t="s">
        <v>1220</v>
      </c>
      <c r="E1127" s="589"/>
      <c r="F1127" s="590"/>
      <c r="G1127" s="591"/>
      <c r="H1127" s="592"/>
      <c r="I1127" s="631">
        <v>7.45</v>
      </c>
      <c r="J1127" s="631">
        <f t="shared" si="354"/>
        <v>7.45</v>
      </c>
      <c r="K1127" s="593">
        <f t="shared" si="351"/>
        <v>9.44</v>
      </c>
      <c r="L1127" s="382" t="s">
        <v>19</v>
      </c>
      <c r="M1127" s="30"/>
      <c r="N1127" s="30">
        <v>9.44</v>
      </c>
      <c r="O1127" s="287">
        <f t="shared" si="352"/>
        <v>0</v>
      </c>
      <c r="P1127" s="287">
        <f t="shared" si="353"/>
        <v>0</v>
      </c>
      <c r="Q1127" s="288"/>
      <c r="R1127" s="243"/>
      <c r="S1127" s="378" t="str">
        <f t="shared" si="350"/>
        <v/>
      </c>
      <c r="U1127" s="722"/>
    </row>
    <row r="1128" spans="2:21" ht="25.5" hidden="1" x14ac:dyDescent="0.2">
      <c r="B1128" s="595">
        <v>95727</v>
      </c>
      <c r="C1128" s="596" t="s">
        <v>817</v>
      </c>
      <c r="D1128" s="597" t="s">
        <v>1221</v>
      </c>
      <c r="E1128" s="589"/>
      <c r="F1128" s="590"/>
      <c r="G1128" s="591"/>
      <c r="H1128" s="592"/>
      <c r="I1128" s="631">
        <v>8.58</v>
      </c>
      <c r="J1128" s="631">
        <f t="shared" si="354"/>
        <v>8.58</v>
      </c>
      <c r="K1128" s="593">
        <f t="shared" si="351"/>
        <v>10.88</v>
      </c>
      <c r="L1128" s="382" t="s">
        <v>19</v>
      </c>
      <c r="M1128" s="30"/>
      <c r="N1128" s="30">
        <v>10.88</v>
      </c>
      <c r="O1128" s="287">
        <f t="shared" si="352"/>
        <v>0</v>
      </c>
      <c r="P1128" s="287">
        <f t="shared" si="353"/>
        <v>0</v>
      </c>
      <c r="Q1128" s="288"/>
      <c r="R1128" s="243"/>
      <c r="S1128" s="378" t="str">
        <f t="shared" si="350"/>
        <v/>
      </c>
      <c r="U1128" s="722"/>
    </row>
    <row r="1129" spans="2:21" ht="25.5" hidden="1" x14ac:dyDescent="0.2">
      <c r="B1129" s="595">
        <v>95728</v>
      </c>
      <c r="C1129" s="596" t="s">
        <v>817</v>
      </c>
      <c r="D1129" s="597" t="s">
        <v>1222</v>
      </c>
      <c r="E1129" s="589"/>
      <c r="F1129" s="590"/>
      <c r="G1129" s="591"/>
      <c r="H1129" s="592"/>
      <c r="I1129" s="631">
        <v>11.05</v>
      </c>
      <c r="J1129" s="631">
        <f t="shared" si="354"/>
        <v>11.05</v>
      </c>
      <c r="K1129" s="593">
        <f t="shared" si="351"/>
        <v>14.01</v>
      </c>
      <c r="L1129" s="382" t="s">
        <v>19</v>
      </c>
      <c r="M1129" s="30"/>
      <c r="N1129" s="30">
        <v>14.01</v>
      </c>
      <c r="O1129" s="287">
        <f t="shared" si="352"/>
        <v>0</v>
      </c>
      <c r="P1129" s="287">
        <f t="shared" si="353"/>
        <v>0</v>
      </c>
      <c r="Q1129" s="288"/>
      <c r="R1129" s="243"/>
      <c r="S1129" s="378" t="str">
        <f t="shared" si="350"/>
        <v/>
      </c>
      <c r="U1129" s="722"/>
    </row>
    <row r="1130" spans="2:21" ht="25.5" hidden="1" x14ac:dyDescent="0.2">
      <c r="B1130" s="595">
        <v>95729</v>
      </c>
      <c r="C1130" s="596" t="s">
        <v>817</v>
      </c>
      <c r="D1130" s="597" t="s">
        <v>1223</v>
      </c>
      <c r="E1130" s="589"/>
      <c r="F1130" s="590"/>
      <c r="G1130" s="591"/>
      <c r="H1130" s="592"/>
      <c r="I1130" s="631">
        <v>9.64</v>
      </c>
      <c r="J1130" s="631">
        <f t="shared" si="354"/>
        <v>9.64</v>
      </c>
      <c r="K1130" s="593">
        <f t="shared" si="351"/>
        <v>12.22</v>
      </c>
      <c r="L1130" s="382" t="s">
        <v>19</v>
      </c>
      <c r="M1130" s="30"/>
      <c r="N1130" s="30">
        <v>12.22</v>
      </c>
      <c r="O1130" s="287">
        <f t="shared" si="352"/>
        <v>0</v>
      </c>
      <c r="P1130" s="287">
        <f t="shared" si="353"/>
        <v>0</v>
      </c>
      <c r="Q1130" s="288"/>
      <c r="R1130" s="243"/>
      <c r="S1130" s="378" t="str">
        <f t="shared" si="350"/>
        <v/>
      </c>
      <c r="U1130" s="722"/>
    </row>
    <row r="1131" spans="2:21" ht="25.5" hidden="1" x14ac:dyDescent="0.2">
      <c r="B1131" s="595">
        <v>95730</v>
      </c>
      <c r="C1131" s="596" t="s">
        <v>817</v>
      </c>
      <c r="D1131" s="597" t="s">
        <v>1224</v>
      </c>
      <c r="E1131" s="589"/>
      <c r="F1131" s="590"/>
      <c r="G1131" s="591"/>
      <c r="H1131" s="592"/>
      <c r="I1131" s="631">
        <v>10.76</v>
      </c>
      <c r="J1131" s="631">
        <f t="shared" si="354"/>
        <v>10.76</v>
      </c>
      <c r="K1131" s="593">
        <f t="shared" si="351"/>
        <v>13.64</v>
      </c>
      <c r="L1131" s="382" t="s">
        <v>19</v>
      </c>
      <c r="M1131" s="30"/>
      <c r="N1131" s="30">
        <v>13.64</v>
      </c>
      <c r="O1131" s="287">
        <f t="shared" si="352"/>
        <v>0</v>
      </c>
      <c r="P1131" s="287">
        <f t="shared" si="353"/>
        <v>0</v>
      </c>
      <c r="Q1131" s="288"/>
      <c r="R1131" s="243"/>
      <c r="S1131" s="378" t="str">
        <f t="shared" si="350"/>
        <v/>
      </c>
      <c r="U1131" s="722"/>
    </row>
    <row r="1132" spans="2:21" ht="25.5" hidden="1" x14ac:dyDescent="0.2">
      <c r="B1132" s="595">
        <v>95731</v>
      </c>
      <c r="C1132" s="596" t="s">
        <v>817</v>
      </c>
      <c r="D1132" s="597" t="s">
        <v>1225</v>
      </c>
      <c r="E1132" s="589"/>
      <c r="F1132" s="590"/>
      <c r="G1132" s="591"/>
      <c r="H1132" s="592"/>
      <c r="I1132" s="631">
        <v>13.23</v>
      </c>
      <c r="J1132" s="631">
        <f t="shared" si="354"/>
        <v>13.23</v>
      </c>
      <c r="K1132" s="593">
        <f t="shared" si="351"/>
        <v>16.77</v>
      </c>
      <c r="L1132" s="382" t="s">
        <v>19</v>
      </c>
      <c r="M1132" s="30"/>
      <c r="N1132" s="30">
        <v>16.77</v>
      </c>
      <c r="O1132" s="287">
        <f t="shared" si="352"/>
        <v>0</v>
      </c>
      <c r="P1132" s="287">
        <f t="shared" si="353"/>
        <v>0</v>
      </c>
      <c r="Q1132" s="288"/>
      <c r="R1132" s="243"/>
      <c r="S1132" s="378" t="str">
        <f t="shared" si="350"/>
        <v/>
      </c>
      <c r="U1132" s="722"/>
    </row>
    <row r="1133" spans="2:21" ht="25.5" hidden="1" x14ac:dyDescent="0.2">
      <c r="B1133" s="595">
        <v>95733</v>
      </c>
      <c r="C1133" s="596" t="s">
        <v>817</v>
      </c>
      <c r="D1133" s="597" t="s">
        <v>1226</v>
      </c>
      <c r="E1133" s="589"/>
      <c r="F1133" s="590"/>
      <c r="G1133" s="591"/>
      <c r="H1133" s="592"/>
      <c r="I1133" s="631">
        <v>6.45</v>
      </c>
      <c r="J1133" s="631">
        <f t="shared" si="354"/>
        <v>6.45</v>
      </c>
      <c r="K1133" s="593">
        <f t="shared" si="351"/>
        <v>8.18</v>
      </c>
      <c r="L1133" s="382" t="s">
        <v>21</v>
      </c>
      <c r="M1133" s="30"/>
      <c r="N1133" s="30">
        <v>8.18</v>
      </c>
      <c r="O1133" s="287">
        <f t="shared" si="352"/>
        <v>0</v>
      </c>
      <c r="P1133" s="287">
        <f t="shared" si="353"/>
        <v>0</v>
      </c>
      <c r="Q1133" s="288"/>
      <c r="R1133" s="243"/>
      <c r="S1133" s="378" t="str">
        <f t="shared" si="350"/>
        <v/>
      </c>
      <c r="U1133" s="722"/>
    </row>
    <row r="1134" spans="2:21" ht="25.5" hidden="1" x14ac:dyDescent="0.2">
      <c r="B1134" s="595">
        <v>95734</v>
      </c>
      <c r="C1134" s="596" t="s">
        <v>817</v>
      </c>
      <c r="D1134" s="597" t="s">
        <v>1227</v>
      </c>
      <c r="E1134" s="589"/>
      <c r="F1134" s="590"/>
      <c r="G1134" s="591"/>
      <c r="H1134" s="592"/>
      <c r="I1134" s="631">
        <v>8.6</v>
      </c>
      <c r="J1134" s="631">
        <f t="shared" si="354"/>
        <v>8.6</v>
      </c>
      <c r="K1134" s="593">
        <f t="shared" si="351"/>
        <v>10.9</v>
      </c>
      <c r="L1134" s="382" t="s">
        <v>21</v>
      </c>
      <c r="M1134" s="30"/>
      <c r="N1134" s="30">
        <v>10.9</v>
      </c>
      <c r="O1134" s="287">
        <f t="shared" si="352"/>
        <v>0</v>
      </c>
      <c r="P1134" s="287">
        <f t="shared" si="353"/>
        <v>0</v>
      </c>
      <c r="Q1134" s="288"/>
      <c r="R1134" s="243"/>
      <c r="S1134" s="378" t="str">
        <f t="shared" si="350"/>
        <v/>
      </c>
      <c r="U1134" s="722"/>
    </row>
    <row r="1135" spans="2:21" ht="25.5" hidden="1" x14ac:dyDescent="0.2">
      <c r="B1135" s="595">
        <v>95735</v>
      </c>
      <c r="C1135" s="596" t="s">
        <v>817</v>
      </c>
      <c r="D1135" s="597" t="s">
        <v>1228</v>
      </c>
      <c r="E1135" s="589"/>
      <c r="F1135" s="590"/>
      <c r="G1135" s="591"/>
      <c r="H1135" s="592"/>
      <c r="I1135" s="631">
        <v>7.13</v>
      </c>
      <c r="J1135" s="631">
        <f t="shared" si="354"/>
        <v>7.13</v>
      </c>
      <c r="K1135" s="593">
        <f t="shared" si="351"/>
        <v>9.0399999999999991</v>
      </c>
      <c r="L1135" s="382" t="s">
        <v>21</v>
      </c>
      <c r="M1135" s="30"/>
      <c r="N1135" s="30">
        <v>9.0399999999999991</v>
      </c>
      <c r="O1135" s="287">
        <f t="shared" si="352"/>
        <v>0</v>
      </c>
      <c r="P1135" s="287">
        <f t="shared" si="353"/>
        <v>0</v>
      </c>
      <c r="Q1135" s="288"/>
      <c r="R1135" s="243"/>
      <c r="S1135" s="378" t="str">
        <f t="shared" si="350"/>
        <v/>
      </c>
      <c r="U1135" s="722"/>
    </row>
    <row r="1136" spans="2:21" ht="25.5" hidden="1" x14ac:dyDescent="0.2">
      <c r="B1136" s="595">
        <v>95736</v>
      </c>
      <c r="C1136" s="596" t="s">
        <v>817</v>
      </c>
      <c r="D1136" s="597" t="s">
        <v>1229</v>
      </c>
      <c r="E1136" s="589"/>
      <c r="F1136" s="590"/>
      <c r="G1136" s="591"/>
      <c r="H1136" s="592"/>
      <c r="I1136" s="631">
        <v>8.44</v>
      </c>
      <c r="J1136" s="631">
        <f t="shared" si="354"/>
        <v>8.44</v>
      </c>
      <c r="K1136" s="593">
        <f t="shared" si="351"/>
        <v>10.7</v>
      </c>
      <c r="L1136" s="382" t="s">
        <v>21</v>
      </c>
      <c r="M1136" s="30"/>
      <c r="N1136" s="30">
        <v>10.7</v>
      </c>
      <c r="O1136" s="287">
        <f t="shared" si="352"/>
        <v>0</v>
      </c>
      <c r="P1136" s="287">
        <f t="shared" si="353"/>
        <v>0</v>
      </c>
      <c r="Q1136" s="288"/>
      <c r="R1136" s="243"/>
      <c r="S1136" s="378" t="str">
        <f t="shared" si="350"/>
        <v/>
      </c>
      <c r="U1136" s="722"/>
    </row>
    <row r="1137" spans="2:21" ht="25.5" hidden="1" x14ac:dyDescent="0.2">
      <c r="B1137" s="595">
        <v>95738</v>
      </c>
      <c r="C1137" s="596" t="s">
        <v>817</v>
      </c>
      <c r="D1137" s="597" t="s">
        <v>1230</v>
      </c>
      <c r="E1137" s="589"/>
      <c r="F1137" s="590"/>
      <c r="G1137" s="591"/>
      <c r="H1137" s="592"/>
      <c r="I1137" s="631">
        <v>10.220000000000001</v>
      </c>
      <c r="J1137" s="631">
        <f t="shared" si="354"/>
        <v>10.220000000000001</v>
      </c>
      <c r="K1137" s="593">
        <f t="shared" si="351"/>
        <v>12.95</v>
      </c>
      <c r="L1137" s="382" t="s">
        <v>21</v>
      </c>
      <c r="M1137" s="30"/>
      <c r="N1137" s="30">
        <v>12.95</v>
      </c>
      <c r="O1137" s="287">
        <f t="shared" si="352"/>
        <v>0</v>
      </c>
      <c r="P1137" s="287">
        <f t="shared" si="353"/>
        <v>0</v>
      </c>
      <c r="Q1137" s="288"/>
      <c r="R1137" s="243"/>
      <c r="S1137" s="378" t="str">
        <f t="shared" si="350"/>
        <v/>
      </c>
      <c r="U1137" s="722"/>
    </row>
    <row r="1138" spans="2:21" ht="25.5" hidden="1" x14ac:dyDescent="0.2">
      <c r="B1138" s="595">
        <v>95732</v>
      </c>
      <c r="C1138" s="596" t="s">
        <v>817</v>
      </c>
      <c r="D1138" s="597" t="s">
        <v>1231</v>
      </c>
      <c r="E1138" s="589"/>
      <c r="F1138" s="590"/>
      <c r="G1138" s="591"/>
      <c r="H1138" s="592"/>
      <c r="I1138" s="631">
        <v>4.88</v>
      </c>
      <c r="J1138" s="631">
        <f t="shared" si="354"/>
        <v>4.88</v>
      </c>
      <c r="K1138" s="593">
        <f t="shared" si="351"/>
        <v>6.19</v>
      </c>
      <c r="L1138" s="382" t="s">
        <v>21</v>
      </c>
      <c r="M1138" s="30"/>
      <c r="N1138" s="30">
        <v>6.19</v>
      </c>
      <c r="O1138" s="287">
        <f t="shared" si="352"/>
        <v>0</v>
      </c>
      <c r="P1138" s="287">
        <f t="shared" si="353"/>
        <v>0</v>
      </c>
      <c r="Q1138" s="288"/>
      <c r="R1138" s="243"/>
      <c r="S1138" s="378" t="str">
        <f t="shared" si="350"/>
        <v/>
      </c>
      <c r="U1138" s="722"/>
    </row>
    <row r="1139" spans="2:21" ht="25.5" hidden="1" x14ac:dyDescent="0.2">
      <c r="B1139" s="595">
        <v>95745</v>
      </c>
      <c r="C1139" s="596" t="s">
        <v>817</v>
      </c>
      <c r="D1139" s="597" t="s">
        <v>1232</v>
      </c>
      <c r="E1139" s="589"/>
      <c r="F1139" s="590"/>
      <c r="G1139" s="591"/>
      <c r="H1139" s="592"/>
      <c r="I1139" s="631">
        <v>22.19</v>
      </c>
      <c r="J1139" s="631">
        <f t="shared" si="354"/>
        <v>22.19</v>
      </c>
      <c r="K1139" s="593">
        <f t="shared" si="351"/>
        <v>28.13</v>
      </c>
      <c r="L1139" s="382" t="s">
        <v>19</v>
      </c>
      <c r="M1139" s="30"/>
      <c r="N1139" s="30">
        <v>28.13</v>
      </c>
      <c r="O1139" s="287">
        <f t="shared" si="352"/>
        <v>0</v>
      </c>
      <c r="P1139" s="287">
        <f t="shared" si="353"/>
        <v>0</v>
      </c>
      <c r="Q1139" s="288"/>
      <c r="R1139" s="243"/>
      <c r="S1139" s="378" t="str">
        <f t="shared" si="350"/>
        <v/>
      </c>
      <c r="U1139" s="722"/>
    </row>
    <row r="1140" spans="2:21" ht="25.5" hidden="1" x14ac:dyDescent="0.2">
      <c r="B1140" s="595">
        <v>95746</v>
      </c>
      <c r="C1140" s="596" t="s">
        <v>817</v>
      </c>
      <c r="D1140" s="597" t="s">
        <v>1233</v>
      </c>
      <c r="E1140" s="589"/>
      <c r="F1140" s="590"/>
      <c r="G1140" s="591"/>
      <c r="H1140" s="592"/>
      <c r="I1140" s="631">
        <v>27.55</v>
      </c>
      <c r="J1140" s="631">
        <f t="shared" si="354"/>
        <v>27.55</v>
      </c>
      <c r="K1140" s="593">
        <f t="shared" si="351"/>
        <v>34.92</v>
      </c>
      <c r="L1140" s="382" t="s">
        <v>19</v>
      </c>
      <c r="M1140" s="30"/>
      <c r="N1140" s="30">
        <v>34.92</v>
      </c>
      <c r="O1140" s="287">
        <f t="shared" si="352"/>
        <v>0</v>
      </c>
      <c r="P1140" s="287">
        <f t="shared" si="353"/>
        <v>0</v>
      </c>
      <c r="Q1140" s="288"/>
      <c r="R1140" s="243"/>
      <c r="S1140" s="378" t="str">
        <f t="shared" si="350"/>
        <v/>
      </c>
      <c r="U1140" s="722"/>
    </row>
    <row r="1141" spans="2:21" ht="25.5" hidden="1" x14ac:dyDescent="0.2">
      <c r="B1141" s="595">
        <v>95747</v>
      </c>
      <c r="C1141" s="596" t="s">
        <v>817</v>
      </c>
      <c r="D1141" s="597" t="s">
        <v>1234</v>
      </c>
      <c r="E1141" s="589"/>
      <c r="F1141" s="590"/>
      <c r="G1141" s="591"/>
      <c r="H1141" s="592"/>
      <c r="I1141" s="631">
        <v>45.24</v>
      </c>
      <c r="J1141" s="631">
        <f t="shared" si="354"/>
        <v>45.24</v>
      </c>
      <c r="K1141" s="593">
        <f t="shared" si="351"/>
        <v>57.34</v>
      </c>
      <c r="L1141" s="382" t="s">
        <v>19</v>
      </c>
      <c r="M1141" s="30"/>
      <c r="N1141" s="30">
        <v>57.34</v>
      </c>
      <c r="O1141" s="287">
        <f t="shared" si="352"/>
        <v>0</v>
      </c>
      <c r="P1141" s="287">
        <f t="shared" si="353"/>
        <v>0</v>
      </c>
      <c r="Q1141" s="288"/>
      <c r="R1141" s="243"/>
      <c r="S1141" s="378" t="str">
        <f t="shared" si="350"/>
        <v/>
      </c>
      <c r="U1141" s="722"/>
    </row>
    <row r="1142" spans="2:21" ht="25.5" hidden="1" x14ac:dyDescent="0.2">
      <c r="B1142" s="595">
        <v>95748</v>
      </c>
      <c r="C1142" s="596" t="s">
        <v>817</v>
      </c>
      <c r="D1142" s="597" t="s">
        <v>1235</v>
      </c>
      <c r="E1142" s="589"/>
      <c r="F1142" s="590"/>
      <c r="G1142" s="591"/>
      <c r="H1142" s="592"/>
      <c r="I1142" s="631">
        <v>48.99</v>
      </c>
      <c r="J1142" s="631">
        <f t="shared" si="354"/>
        <v>48.99</v>
      </c>
      <c r="K1142" s="593">
        <f t="shared" si="351"/>
        <v>62.09</v>
      </c>
      <c r="L1142" s="382" t="s">
        <v>19</v>
      </c>
      <c r="M1142" s="30"/>
      <c r="N1142" s="30">
        <v>62.09</v>
      </c>
      <c r="O1142" s="287">
        <f t="shared" si="352"/>
        <v>0</v>
      </c>
      <c r="P1142" s="287">
        <f t="shared" si="353"/>
        <v>0</v>
      </c>
      <c r="Q1142" s="288"/>
      <c r="R1142" s="243"/>
      <c r="S1142" s="378" t="str">
        <f t="shared" si="350"/>
        <v/>
      </c>
      <c r="U1142" s="722"/>
    </row>
    <row r="1143" spans="2:21" ht="25.5" hidden="1" x14ac:dyDescent="0.2">
      <c r="B1143" s="595">
        <v>95749</v>
      </c>
      <c r="C1143" s="596" t="s">
        <v>817</v>
      </c>
      <c r="D1143" s="597" t="s">
        <v>1236</v>
      </c>
      <c r="E1143" s="589"/>
      <c r="F1143" s="590"/>
      <c r="G1143" s="591"/>
      <c r="H1143" s="592"/>
      <c r="I1143" s="631">
        <v>29.23</v>
      </c>
      <c r="J1143" s="631">
        <f t="shared" si="354"/>
        <v>29.23</v>
      </c>
      <c r="K1143" s="593">
        <f t="shared" si="351"/>
        <v>37.049999999999997</v>
      </c>
      <c r="L1143" s="382" t="s">
        <v>19</v>
      </c>
      <c r="M1143" s="30"/>
      <c r="N1143" s="30">
        <v>37.049999999999997</v>
      </c>
      <c r="O1143" s="287">
        <f t="shared" si="352"/>
        <v>0</v>
      </c>
      <c r="P1143" s="287">
        <f t="shared" si="353"/>
        <v>0</v>
      </c>
      <c r="Q1143" s="288"/>
      <c r="R1143" s="243"/>
      <c r="S1143" s="378" t="str">
        <f t="shared" si="350"/>
        <v/>
      </c>
      <c r="U1143" s="722"/>
    </row>
    <row r="1144" spans="2:21" ht="25.5" hidden="1" x14ac:dyDescent="0.2">
      <c r="B1144" s="595">
        <v>95750</v>
      </c>
      <c r="C1144" s="596" t="s">
        <v>817</v>
      </c>
      <c r="D1144" s="597" t="s">
        <v>1237</v>
      </c>
      <c r="E1144" s="589"/>
      <c r="F1144" s="590"/>
      <c r="G1144" s="591"/>
      <c r="H1144" s="592"/>
      <c r="I1144" s="631">
        <v>34.43</v>
      </c>
      <c r="J1144" s="631">
        <f t="shared" si="354"/>
        <v>34.43</v>
      </c>
      <c r="K1144" s="593">
        <f t="shared" si="351"/>
        <v>43.64</v>
      </c>
      <c r="L1144" s="382" t="s">
        <v>19</v>
      </c>
      <c r="M1144" s="30"/>
      <c r="N1144" s="30">
        <v>43.64</v>
      </c>
      <c r="O1144" s="287">
        <f t="shared" si="352"/>
        <v>0</v>
      </c>
      <c r="P1144" s="287">
        <f t="shared" si="353"/>
        <v>0</v>
      </c>
      <c r="Q1144" s="288"/>
      <c r="R1144" s="243"/>
      <c r="S1144" s="378" t="str">
        <f t="shared" si="350"/>
        <v/>
      </c>
      <c r="U1144" s="722"/>
    </row>
    <row r="1145" spans="2:21" ht="25.5" hidden="1" x14ac:dyDescent="0.2">
      <c r="B1145" s="595">
        <v>95751</v>
      </c>
      <c r="C1145" s="596" t="s">
        <v>817</v>
      </c>
      <c r="D1145" s="597" t="s">
        <v>1238</v>
      </c>
      <c r="E1145" s="589"/>
      <c r="F1145" s="590"/>
      <c r="G1145" s="591"/>
      <c r="H1145" s="592"/>
      <c r="I1145" s="631">
        <v>51.92</v>
      </c>
      <c r="J1145" s="631">
        <f t="shared" si="354"/>
        <v>51.92</v>
      </c>
      <c r="K1145" s="593">
        <f t="shared" si="351"/>
        <v>65.81</v>
      </c>
      <c r="L1145" s="382" t="s">
        <v>19</v>
      </c>
      <c r="M1145" s="30"/>
      <c r="N1145" s="30">
        <v>65.81</v>
      </c>
      <c r="O1145" s="287">
        <f t="shared" si="352"/>
        <v>0</v>
      </c>
      <c r="P1145" s="287">
        <f t="shared" si="353"/>
        <v>0</v>
      </c>
      <c r="Q1145" s="288"/>
      <c r="R1145" s="243"/>
      <c r="S1145" s="378" t="str">
        <f t="shared" si="350"/>
        <v/>
      </c>
      <c r="U1145" s="722"/>
    </row>
    <row r="1146" spans="2:21" ht="25.5" hidden="1" x14ac:dyDescent="0.2">
      <c r="B1146" s="595">
        <v>95752</v>
      </c>
      <c r="C1146" s="596" t="s">
        <v>817</v>
      </c>
      <c r="D1146" s="597" t="s">
        <v>1239</v>
      </c>
      <c r="E1146" s="589"/>
      <c r="F1146" s="590"/>
      <c r="G1146" s="591"/>
      <c r="H1146" s="592"/>
      <c r="I1146" s="631">
        <v>55.42</v>
      </c>
      <c r="J1146" s="631">
        <f t="shared" si="354"/>
        <v>55.42</v>
      </c>
      <c r="K1146" s="593">
        <f t="shared" si="351"/>
        <v>70.239999999999995</v>
      </c>
      <c r="L1146" s="382" t="s">
        <v>19</v>
      </c>
      <c r="M1146" s="30"/>
      <c r="N1146" s="30">
        <v>70.239999999999995</v>
      </c>
      <c r="O1146" s="287">
        <f t="shared" si="352"/>
        <v>0</v>
      </c>
      <c r="P1146" s="287">
        <f t="shared" si="353"/>
        <v>0</v>
      </c>
      <c r="Q1146" s="288"/>
      <c r="R1146" s="243"/>
      <c r="S1146" s="378" t="str">
        <f t="shared" si="350"/>
        <v/>
      </c>
      <c r="U1146" s="722"/>
    </row>
    <row r="1147" spans="2:21" ht="25.5" hidden="1" x14ac:dyDescent="0.2">
      <c r="B1147" s="595">
        <v>95753</v>
      </c>
      <c r="C1147" s="596" t="s">
        <v>817</v>
      </c>
      <c r="D1147" s="597" t="s">
        <v>1240</v>
      </c>
      <c r="E1147" s="589"/>
      <c r="F1147" s="590"/>
      <c r="G1147" s="591"/>
      <c r="H1147" s="592"/>
      <c r="I1147" s="631">
        <v>7.54</v>
      </c>
      <c r="J1147" s="631">
        <f t="shared" si="354"/>
        <v>7.54</v>
      </c>
      <c r="K1147" s="593">
        <f t="shared" si="351"/>
        <v>9.56</v>
      </c>
      <c r="L1147" s="382" t="s">
        <v>21</v>
      </c>
      <c r="M1147" s="30"/>
      <c r="N1147" s="30">
        <v>9.56</v>
      </c>
      <c r="O1147" s="287">
        <f t="shared" si="352"/>
        <v>0</v>
      </c>
      <c r="P1147" s="287">
        <f t="shared" si="353"/>
        <v>0</v>
      </c>
      <c r="Q1147" s="288"/>
      <c r="R1147" s="243"/>
      <c r="S1147" s="378" t="str">
        <f t="shared" si="350"/>
        <v/>
      </c>
      <c r="U1147" s="722"/>
    </row>
    <row r="1148" spans="2:21" ht="25.5" hidden="1" x14ac:dyDescent="0.2">
      <c r="B1148" s="595">
        <v>95754</v>
      </c>
      <c r="C1148" s="596" t="s">
        <v>817</v>
      </c>
      <c r="D1148" s="597" t="s">
        <v>1241</v>
      </c>
      <c r="E1148" s="589"/>
      <c r="F1148" s="590"/>
      <c r="G1148" s="591"/>
      <c r="H1148" s="592"/>
      <c r="I1148" s="631">
        <v>9.4</v>
      </c>
      <c r="J1148" s="631">
        <f t="shared" si="354"/>
        <v>9.4</v>
      </c>
      <c r="K1148" s="593">
        <f t="shared" si="351"/>
        <v>11.91</v>
      </c>
      <c r="L1148" s="382" t="s">
        <v>21</v>
      </c>
      <c r="M1148" s="30"/>
      <c r="N1148" s="30">
        <v>11.91</v>
      </c>
      <c r="O1148" s="287">
        <f t="shared" si="352"/>
        <v>0</v>
      </c>
      <c r="P1148" s="287">
        <f t="shared" si="353"/>
        <v>0</v>
      </c>
      <c r="Q1148" s="288"/>
      <c r="R1148" s="243"/>
      <c r="S1148" s="378" t="str">
        <f t="shared" si="350"/>
        <v/>
      </c>
      <c r="U1148" s="722"/>
    </row>
    <row r="1149" spans="2:21" ht="25.5" hidden="1" x14ac:dyDescent="0.2">
      <c r="B1149" s="595">
        <v>95755</v>
      </c>
      <c r="C1149" s="596" t="s">
        <v>817</v>
      </c>
      <c r="D1149" s="597" t="s">
        <v>1242</v>
      </c>
      <c r="E1149" s="589"/>
      <c r="F1149" s="590"/>
      <c r="G1149" s="591"/>
      <c r="H1149" s="592"/>
      <c r="I1149" s="631">
        <v>13.46</v>
      </c>
      <c r="J1149" s="631">
        <f t="shared" si="354"/>
        <v>13.46</v>
      </c>
      <c r="K1149" s="593">
        <f t="shared" si="351"/>
        <v>17.059999999999999</v>
      </c>
      <c r="L1149" s="382" t="s">
        <v>21</v>
      </c>
      <c r="M1149" s="30"/>
      <c r="N1149" s="30">
        <v>17.059999999999999</v>
      </c>
      <c r="O1149" s="287">
        <f t="shared" si="352"/>
        <v>0</v>
      </c>
      <c r="P1149" s="287">
        <f t="shared" si="353"/>
        <v>0</v>
      </c>
      <c r="Q1149" s="288"/>
      <c r="R1149" s="243"/>
      <c r="S1149" s="378" t="str">
        <f t="shared" si="350"/>
        <v/>
      </c>
      <c r="U1149" s="722"/>
    </row>
    <row r="1150" spans="2:21" ht="25.5" hidden="1" x14ac:dyDescent="0.2">
      <c r="B1150" s="595">
        <v>95756</v>
      </c>
      <c r="C1150" s="596" t="s">
        <v>817</v>
      </c>
      <c r="D1150" s="597" t="s">
        <v>1243</v>
      </c>
      <c r="E1150" s="589"/>
      <c r="F1150" s="590"/>
      <c r="G1150" s="591"/>
      <c r="H1150" s="592"/>
      <c r="I1150" s="631">
        <v>17.899999999999999</v>
      </c>
      <c r="J1150" s="631">
        <f t="shared" si="354"/>
        <v>17.899999999999999</v>
      </c>
      <c r="K1150" s="593">
        <f t="shared" si="351"/>
        <v>22.69</v>
      </c>
      <c r="L1150" s="382" t="s">
        <v>21</v>
      </c>
      <c r="M1150" s="30"/>
      <c r="N1150" s="30">
        <v>22.69</v>
      </c>
      <c r="O1150" s="287">
        <f t="shared" si="352"/>
        <v>0</v>
      </c>
      <c r="P1150" s="287">
        <f t="shared" si="353"/>
        <v>0</v>
      </c>
      <c r="Q1150" s="288"/>
      <c r="R1150" s="243"/>
      <c r="S1150" s="378" t="str">
        <f t="shared" si="350"/>
        <v/>
      </c>
      <c r="U1150" s="722"/>
    </row>
    <row r="1151" spans="2:21" ht="25.5" hidden="1" x14ac:dyDescent="0.2">
      <c r="B1151" s="595">
        <v>95757</v>
      </c>
      <c r="C1151" s="596" t="s">
        <v>817</v>
      </c>
      <c r="D1151" s="597" t="s">
        <v>1244</v>
      </c>
      <c r="E1151" s="589"/>
      <c r="F1151" s="590"/>
      <c r="G1151" s="591"/>
      <c r="H1151" s="592"/>
      <c r="I1151" s="631">
        <v>11.44</v>
      </c>
      <c r="J1151" s="631">
        <f t="shared" si="354"/>
        <v>11.44</v>
      </c>
      <c r="K1151" s="593">
        <f t="shared" si="351"/>
        <v>14.5</v>
      </c>
      <c r="L1151" s="382" t="s">
        <v>21</v>
      </c>
      <c r="M1151" s="30"/>
      <c r="N1151" s="30">
        <v>14.5</v>
      </c>
      <c r="O1151" s="287">
        <f t="shared" si="352"/>
        <v>0</v>
      </c>
      <c r="P1151" s="287">
        <f t="shared" si="353"/>
        <v>0</v>
      </c>
      <c r="Q1151" s="288"/>
      <c r="R1151" s="243"/>
      <c r="S1151" s="378" t="str">
        <f t="shared" ref="S1151:S1204" si="355">IF(R1151="x","x",IF(R1151="y","x",IF(R1151="xy","x",IF(P1151&gt;0,"x",""))))</f>
        <v/>
      </c>
      <c r="U1151" s="722"/>
    </row>
    <row r="1152" spans="2:21" ht="25.5" hidden="1" x14ac:dyDescent="0.2">
      <c r="B1152" s="595">
        <v>95758</v>
      </c>
      <c r="C1152" s="596" t="s">
        <v>817</v>
      </c>
      <c r="D1152" s="597" t="s">
        <v>1245</v>
      </c>
      <c r="E1152" s="589"/>
      <c r="F1152" s="590"/>
      <c r="G1152" s="591"/>
      <c r="H1152" s="592"/>
      <c r="I1152" s="631">
        <v>12.86</v>
      </c>
      <c r="J1152" s="631">
        <f t="shared" si="354"/>
        <v>12.86</v>
      </c>
      <c r="K1152" s="593">
        <f t="shared" si="351"/>
        <v>16.3</v>
      </c>
      <c r="L1152" s="382" t="s">
        <v>21</v>
      </c>
      <c r="M1152" s="30"/>
      <c r="N1152" s="30">
        <v>16.3</v>
      </c>
      <c r="O1152" s="287">
        <f t="shared" si="352"/>
        <v>0</v>
      </c>
      <c r="P1152" s="287">
        <f t="shared" si="353"/>
        <v>0</v>
      </c>
      <c r="Q1152" s="288"/>
      <c r="R1152" s="243"/>
      <c r="S1152" s="378" t="str">
        <f t="shared" si="355"/>
        <v/>
      </c>
      <c r="U1152" s="722"/>
    </row>
    <row r="1153" spans="2:21" ht="25.5" hidden="1" x14ac:dyDescent="0.2">
      <c r="B1153" s="595">
        <v>95759</v>
      </c>
      <c r="C1153" s="596" t="s">
        <v>817</v>
      </c>
      <c r="D1153" s="597" t="s">
        <v>1246</v>
      </c>
      <c r="E1153" s="589"/>
      <c r="F1153" s="590"/>
      <c r="G1153" s="591"/>
      <c r="H1153" s="592"/>
      <c r="I1153" s="631">
        <v>16.27</v>
      </c>
      <c r="J1153" s="631">
        <f t="shared" si="354"/>
        <v>16.27</v>
      </c>
      <c r="K1153" s="593">
        <f t="shared" si="351"/>
        <v>20.62</v>
      </c>
      <c r="L1153" s="382" t="s">
        <v>21</v>
      </c>
      <c r="M1153" s="30"/>
      <c r="N1153" s="30">
        <v>20.62</v>
      </c>
      <c r="O1153" s="287">
        <f t="shared" si="352"/>
        <v>0</v>
      </c>
      <c r="P1153" s="287">
        <f t="shared" si="353"/>
        <v>0</v>
      </c>
      <c r="Q1153" s="288"/>
      <c r="R1153" s="243"/>
      <c r="S1153" s="378" t="str">
        <f t="shared" si="355"/>
        <v/>
      </c>
      <c r="U1153" s="722"/>
    </row>
    <row r="1154" spans="2:21" ht="25.5" hidden="1" x14ac:dyDescent="0.2">
      <c r="B1154" s="595">
        <v>95760</v>
      </c>
      <c r="C1154" s="596" t="s">
        <v>817</v>
      </c>
      <c r="D1154" s="597" t="s">
        <v>1247</v>
      </c>
      <c r="E1154" s="589"/>
      <c r="F1154" s="590"/>
      <c r="G1154" s="591"/>
      <c r="H1154" s="592"/>
      <c r="I1154" s="631">
        <v>19.95</v>
      </c>
      <c r="J1154" s="631">
        <f t="shared" si="354"/>
        <v>19.95</v>
      </c>
      <c r="K1154" s="593">
        <f t="shared" si="351"/>
        <v>25.29</v>
      </c>
      <c r="L1154" s="382" t="s">
        <v>21</v>
      </c>
      <c r="M1154" s="30"/>
      <c r="N1154" s="30">
        <v>25.29</v>
      </c>
      <c r="O1154" s="287">
        <f t="shared" si="352"/>
        <v>0</v>
      </c>
      <c r="P1154" s="287">
        <f t="shared" si="353"/>
        <v>0</v>
      </c>
      <c r="Q1154" s="288"/>
      <c r="R1154" s="243"/>
      <c r="S1154" s="378" t="str">
        <f t="shared" si="355"/>
        <v/>
      </c>
      <c r="U1154" s="722"/>
    </row>
    <row r="1155" spans="2:21" ht="25.5" hidden="1" x14ac:dyDescent="0.2">
      <c r="B1155" s="595">
        <v>91839</v>
      </c>
      <c r="C1155" s="596" t="s">
        <v>817</v>
      </c>
      <c r="D1155" s="597" t="s">
        <v>1248</v>
      </c>
      <c r="E1155" s="589"/>
      <c r="F1155" s="590"/>
      <c r="G1155" s="591"/>
      <c r="H1155" s="592"/>
      <c r="I1155" s="631">
        <v>10.27</v>
      </c>
      <c r="J1155" s="631">
        <f t="shared" si="354"/>
        <v>10.27</v>
      </c>
      <c r="K1155" s="593">
        <f t="shared" si="351"/>
        <v>13.02</v>
      </c>
      <c r="L1155" s="382" t="s">
        <v>19</v>
      </c>
      <c r="M1155" s="30"/>
      <c r="N1155" s="30">
        <v>13.02</v>
      </c>
      <c r="O1155" s="287">
        <f t="shared" si="352"/>
        <v>0</v>
      </c>
      <c r="P1155" s="287">
        <f t="shared" si="353"/>
        <v>0</v>
      </c>
      <c r="Q1155" s="288"/>
      <c r="R1155" s="243"/>
      <c r="S1155" s="378" t="str">
        <f t="shared" si="355"/>
        <v/>
      </c>
      <c r="U1155" s="722"/>
    </row>
    <row r="1156" spans="2:21" ht="25.5" hidden="1" x14ac:dyDescent="0.2">
      <c r="B1156" s="595">
        <v>91840</v>
      </c>
      <c r="C1156" s="596" t="s">
        <v>817</v>
      </c>
      <c r="D1156" s="597" t="s">
        <v>1249</v>
      </c>
      <c r="E1156" s="589"/>
      <c r="F1156" s="590"/>
      <c r="G1156" s="591"/>
      <c r="H1156" s="592"/>
      <c r="I1156" s="631">
        <v>12.78</v>
      </c>
      <c r="J1156" s="631">
        <f t="shared" si="354"/>
        <v>12.78</v>
      </c>
      <c r="K1156" s="593">
        <f t="shared" si="351"/>
        <v>16.2</v>
      </c>
      <c r="L1156" s="382" t="s">
        <v>19</v>
      </c>
      <c r="M1156" s="30"/>
      <c r="N1156" s="30">
        <v>16.2</v>
      </c>
      <c r="O1156" s="287">
        <f t="shared" si="352"/>
        <v>0</v>
      </c>
      <c r="P1156" s="287">
        <f t="shared" si="353"/>
        <v>0</v>
      </c>
      <c r="Q1156" s="288"/>
      <c r="R1156" s="243"/>
      <c r="S1156" s="378" t="str">
        <f t="shared" si="355"/>
        <v/>
      </c>
      <c r="U1156" s="722"/>
    </row>
    <row r="1157" spans="2:21" ht="25.5" hidden="1" x14ac:dyDescent="0.2">
      <c r="B1157" s="595">
        <v>91841</v>
      </c>
      <c r="C1157" s="596" t="s">
        <v>817</v>
      </c>
      <c r="D1157" s="597" t="s">
        <v>1250</v>
      </c>
      <c r="E1157" s="589"/>
      <c r="F1157" s="590"/>
      <c r="G1157" s="591"/>
      <c r="H1157" s="592"/>
      <c r="I1157" s="631">
        <v>12.18</v>
      </c>
      <c r="J1157" s="631">
        <f t="shared" si="354"/>
        <v>12.18</v>
      </c>
      <c r="K1157" s="593">
        <f t="shared" si="351"/>
        <v>15.44</v>
      </c>
      <c r="L1157" s="382" t="s">
        <v>19</v>
      </c>
      <c r="M1157" s="30"/>
      <c r="N1157" s="30">
        <v>15.44</v>
      </c>
      <c r="O1157" s="287">
        <f t="shared" si="352"/>
        <v>0</v>
      </c>
      <c r="P1157" s="287">
        <f t="shared" si="353"/>
        <v>0</v>
      </c>
      <c r="Q1157" s="288"/>
      <c r="R1157" s="243"/>
      <c r="S1157" s="378" t="str">
        <f t="shared" si="355"/>
        <v/>
      </c>
      <c r="U1157" s="722"/>
    </row>
    <row r="1158" spans="2:21" ht="25.5" hidden="1" x14ac:dyDescent="0.2">
      <c r="B1158" s="595">
        <v>91849</v>
      </c>
      <c r="C1158" s="596" t="s">
        <v>817</v>
      </c>
      <c r="D1158" s="597" t="s">
        <v>1251</v>
      </c>
      <c r="E1158" s="589"/>
      <c r="F1158" s="590"/>
      <c r="G1158" s="591"/>
      <c r="H1158" s="592"/>
      <c r="I1158" s="631">
        <v>8.06</v>
      </c>
      <c r="J1158" s="631">
        <f t="shared" si="354"/>
        <v>8.06</v>
      </c>
      <c r="K1158" s="593">
        <f t="shared" ref="K1158:K1211" si="356">IF(ISBLANK(I1158),0,ROUND(J1158*(1+$F$10)*(1+$F$11*E1158),2))</f>
        <v>10.220000000000001</v>
      </c>
      <c r="L1158" s="382" t="s">
        <v>19</v>
      </c>
      <c r="M1158" s="30"/>
      <c r="N1158" s="30">
        <v>10.220000000000001</v>
      </c>
      <c r="O1158" s="287">
        <f t="shared" ref="O1158:O1211" si="357">IF(ISBLANK(M1158),0,ROUND(K1158*M1158,2))</f>
        <v>0</v>
      </c>
      <c r="P1158" s="287">
        <f t="shared" ref="P1158:P1211" si="358">IF(ISBLANK(N1158),0,ROUND(M1158*N1158,2))</f>
        <v>0</v>
      </c>
      <c r="Q1158" s="288"/>
      <c r="R1158" s="243"/>
      <c r="S1158" s="378" t="str">
        <f t="shared" si="355"/>
        <v/>
      </c>
      <c r="U1158" s="722"/>
    </row>
    <row r="1159" spans="2:21" ht="25.5" hidden="1" x14ac:dyDescent="0.2">
      <c r="B1159" s="595">
        <v>91850</v>
      </c>
      <c r="C1159" s="596" t="s">
        <v>817</v>
      </c>
      <c r="D1159" s="597" t="s">
        <v>1252</v>
      </c>
      <c r="E1159" s="589"/>
      <c r="F1159" s="590"/>
      <c r="G1159" s="591"/>
      <c r="H1159" s="592"/>
      <c r="I1159" s="631">
        <v>10.64</v>
      </c>
      <c r="J1159" s="631">
        <f t="shared" si="354"/>
        <v>10.64</v>
      </c>
      <c r="K1159" s="593">
        <f t="shared" si="356"/>
        <v>13.49</v>
      </c>
      <c r="L1159" s="382" t="s">
        <v>19</v>
      </c>
      <c r="M1159" s="30"/>
      <c r="N1159" s="30">
        <v>13.49</v>
      </c>
      <c r="O1159" s="287">
        <f t="shared" si="357"/>
        <v>0</v>
      </c>
      <c r="P1159" s="287">
        <f t="shared" si="358"/>
        <v>0</v>
      </c>
      <c r="Q1159" s="288"/>
      <c r="R1159" s="243"/>
      <c r="S1159" s="378" t="str">
        <f t="shared" si="355"/>
        <v/>
      </c>
      <c r="U1159" s="722"/>
    </row>
    <row r="1160" spans="2:21" ht="25.5" hidden="1" x14ac:dyDescent="0.2">
      <c r="B1160" s="595">
        <v>91851</v>
      </c>
      <c r="C1160" s="596" t="s">
        <v>817</v>
      </c>
      <c r="D1160" s="597" t="s">
        <v>1253</v>
      </c>
      <c r="E1160" s="589"/>
      <c r="F1160" s="590"/>
      <c r="G1160" s="591"/>
      <c r="H1160" s="592"/>
      <c r="I1160" s="631">
        <v>10.039999999999999</v>
      </c>
      <c r="J1160" s="631">
        <f t="shared" si="354"/>
        <v>10.039999999999999</v>
      </c>
      <c r="K1160" s="593">
        <f t="shared" si="356"/>
        <v>12.73</v>
      </c>
      <c r="L1160" s="382" t="s">
        <v>19</v>
      </c>
      <c r="M1160" s="30"/>
      <c r="N1160" s="30">
        <v>12.73</v>
      </c>
      <c r="O1160" s="287">
        <f t="shared" si="357"/>
        <v>0</v>
      </c>
      <c r="P1160" s="287">
        <f t="shared" si="358"/>
        <v>0</v>
      </c>
      <c r="Q1160" s="288"/>
      <c r="R1160" s="243"/>
      <c r="S1160" s="378" t="str">
        <f t="shared" si="355"/>
        <v/>
      </c>
      <c r="U1160" s="722"/>
    </row>
    <row r="1161" spans="2:21" ht="25.5" hidden="1" x14ac:dyDescent="0.2">
      <c r="B1161" s="595">
        <v>91859</v>
      </c>
      <c r="C1161" s="596" t="s">
        <v>817</v>
      </c>
      <c r="D1161" s="597" t="s">
        <v>1254</v>
      </c>
      <c r="E1161" s="589"/>
      <c r="F1161" s="590"/>
      <c r="G1161" s="591"/>
      <c r="H1161" s="592"/>
      <c r="I1161" s="631">
        <v>10.73</v>
      </c>
      <c r="J1161" s="631">
        <f t="shared" si="354"/>
        <v>10.73</v>
      </c>
      <c r="K1161" s="593">
        <f t="shared" si="356"/>
        <v>13.6</v>
      </c>
      <c r="L1161" s="382" t="s">
        <v>19</v>
      </c>
      <c r="M1161" s="30"/>
      <c r="N1161" s="30">
        <v>13.6</v>
      </c>
      <c r="O1161" s="287">
        <f t="shared" si="357"/>
        <v>0</v>
      </c>
      <c r="P1161" s="287">
        <f t="shared" si="358"/>
        <v>0</v>
      </c>
      <c r="Q1161" s="288"/>
      <c r="R1161" s="243"/>
      <c r="S1161" s="378" t="str">
        <f t="shared" si="355"/>
        <v/>
      </c>
      <c r="U1161" s="722"/>
    </row>
    <row r="1162" spans="2:21" ht="25.5" hidden="1" x14ac:dyDescent="0.2">
      <c r="B1162" s="595">
        <v>91860</v>
      </c>
      <c r="C1162" s="596" t="s">
        <v>817</v>
      </c>
      <c r="D1162" s="597" t="s">
        <v>1255</v>
      </c>
      <c r="E1162" s="589"/>
      <c r="F1162" s="590"/>
      <c r="G1162" s="591"/>
      <c r="H1162" s="592"/>
      <c r="I1162" s="631">
        <v>13.19</v>
      </c>
      <c r="J1162" s="631">
        <f t="shared" si="354"/>
        <v>13.19</v>
      </c>
      <c r="K1162" s="593">
        <f t="shared" si="356"/>
        <v>16.72</v>
      </c>
      <c r="L1162" s="382" t="s">
        <v>19</v>
      </c>
      <c r="M1162" s="30"/>
      <c r="N1162" s="30">
        <v>16.72</v>
      </c>
      <c r="O1162" s="287">
        <f t="shared" si="357"/>
        <v>0</v>
      </c>
      <c r="P1162" s="287">
        <f t="shared" si="358"/>
        <v>0</v>
      </c>
      <c r="Q1162" s="288"/>
      <c r="R1162" s="243"/>
      <c r="S1162" s="378" t="str">
        <f t="shared" si="355"/>
        <v/>
      </c>
      <c r="U1162" s="722"/>
    </row>
    <row r="1163" spans="2:21" ht="25.5" hidden="1" x14ac:dyDescent="0.2">
      <c r="B1163" s="595">
        <v>91861</v>
      </c>
      <c r="C1163" s="596" t="s">
        <v>817</v>
      </c>
      <c r="D1163" s="597" t="s">
        <v>1256</v>
      </c>
      <c r="E1163" s="589"/>
      <c r="F1163" s="590"/>
      <c r="G1163" s="591"/>
      <c r="H1163" s="592"/>
      <c r="I1163" s="631">
        <v>12.63</v>
      </c>
      <c r="J1163" s="631">
        <f t="shared" si="354"/>
        <v>12.63</v>
      </c>
      <c r="K1163" s="593">
        <f t="shared" si="356"/>
        <v>16.010000000000002</v>
      </c>
      <c r="L1163" s="382" t="s">
        <v>19</v>
      </c>
      <c r="M1163" s="30"/>
      <c r="N1163" s="30">
        <v>16.010000000000002</v>
      </c>
      <c r="O1163" s="287">
        <f t="shared" si="357"/>
        <v>0</v>
      </c>
      <c r="P1163" s="287">
        <f t="shared" si="358"/>
        <v>0</v>
      </c>
      <c r="Q1163" s="288"/>
      <c r="R1163" s="243"/>
      <c r="S1163" s="378" t="str">
        <f t="shared" si="355"/>
        <v/>
      </c>
      <c r="U1163" s="722"/>
    </row>
    <row r="1164" spans="2:21" hidden="1" x14ac:dyDescent="0.2">
      <c r="B1164" s="595">
        <v>97667</v>
      </c>
      <c r="C1164" s="596" t="s">
        <v>817</v>
      </c>
      <c r="D1164" s="597" t="s">
        <v>1257</v>
      </c>
      <c r="E1164" s="589"/>
      <c r="F1164" s="590"/>
      <c r="G1164" s="591"/>
      <c r="H1164" s="592"/>
      <c r="I1164" s="631">
        <v>7.92</v>
      </c>
      <c r="J1164" s="631">
        <f t="shared" si="354"/>
        <v>7.92</v>
      </c>
      <c r="K1164" s="593">
        <f t="shared" si="356"/>
        <v>10.039999999999999</v>
      </c>
      <c r="L1164" s="382" t="s">
        <v>19</v>
      </c>
      <c r="M1164" s="30"/>
      <c r="N1164" s="30">
        <v>10.039999999999999</v>
      </c>
      <c r="O1164" s="287">
        <f t="shared" si="357"/>
        <v>0</v>
      </c>
      <c r="P1164" s="287">
        <f t="shared" si="358"/>
        <v>0</v>
      </c>
      <c r="Q1164" s="288"/>
      <c r="R1164" s="243"/>
      <c r="S1164" s="378" t="str">
        <f t="shared" si="355"/>
        <v/>
      </c>
      <c r="U1164" s="722"/>
    </row>
    <row r="1165" spans="2:21" hidden="1" x14ac:dyDescent="0.2">
      <c r="B1165" s="595">
        <v>97668</v>
      </c>
      <c r="C1165" s="596" t="s">
        <v>817</v>
      </c>
      <c r="D1165" s="597" t="s">
        <v>1258</v>
      </c>
      <c r="E1165" s="589"/>
      <c r="F1165" s="590"/>
      <c r="G1165" s="591"/>
      <c r="H1165" s="592"/>
      <c r="I1165" s="631">
        <v>11.29</v>
      </c>
      <c r="J1165" s="631">
        <f t="shared" si="354"/>
        <v>11.29</v>
      </c>
      <c r="K1165" s="593">
        <f t="shared" si="356"/>
        <v>14.31</v>
      </c>
      <c r="L1165" s="382" t="s">
        <v>19</v>
      </c>
      <c r="M1165" s="30"/>
      <c r="N1165" s="30">
        <v>14.31</v>
      </c>
      <c r="O1165" s="287">
        <f t="shared" si="357"/>
        <v>0</v>
      </c>
      <c r="P1165" s="287">
        <f t="shared" si="358"/>
        <v>0</v>
      </c>
      <c r="Q1165" s="288"/>
      <c r="R1165" s="243"/>
      <c r="S1165" s="378" t="str">
        <f t="shared" si="355"/>
        <v/>
      </c>
      <c r="U1165" s="722"/>
    </row>
    <row r="1166" spans="2:21" hidden="1" x14ac:dyDescent="0.2">
      <c r="B1166" s="595">
        <v>97669</v>
      </c>
      <c r="C1166" s="596" t="s">
        <v>817</v>
      </c>
      <c r="D1166" s="597" t="s">
        <v>1259</v>
      </c>
      <c r="E1166" s="589"/>
      <c r="F1166" s="590"/>
      <c r="G1166" s="591"/>
      <c r="H1166" s="592"/>
      <c r="I1166" s="631">
        <v>16.75</v>
      </c>
      <c r="J1166" s="631">
        <f t="shared" si="354"/>
        <v>16.75</v>
      </c>
      <c r="K1166" s="593">
        <f t="shared" si="356"/>
        <v>21.23</v>
      </c>
      <c r="L1166" s="382" t="s">
        <v>19</v>
      </c>
      <c r="M1166" s="30"/>
      <c r="N1166" s="30">
        <v>21.23</v>
      </c>
      <c r="O1166" s="287">
        <f t="shared" si="357"/>
        <v>0</v>
      </c>
      <c r="P1166" s="287">
        <f t="shared" si="358"/>
        <v>0</v>
      </c>
      <c r="Q1166" s="288"/>
      <c r="R1166" s="243"/>
      <c r="S1166" s="378" t="str">
        <f t="shared" si="355"/>
        <v/>
      </c>
      <c r="U1166" s="722"/>
    </row>
    <row r="1167" spans="2:21" hidden="1" x14ac:dyDescent="0.2">
      <c r="B1167" s="595">
        <v>97670</v>
      </c>
      <c r="C1167" s="596" t="s">
        <v>817</v>
      </c>
      <c r="D1167" s="597" t="s">
        <v>1260</v>
      </c>
      <c r="E1167" s="589"/>
      <c r="F1167" s="590"/>
      <c r="G1167" s="591"/>
      <c r="H1167" s="592"/>
      <c r="I1167" s="631">
        <v>21.41</v>
      </c>
      <c r="J1167" s="631">
        <f t="shared" si="354"/>
        <v>21.41</v>
      </c>
      <c r="K1167" s="593">
        <f t="shared" si="356"/>
        <v>27.14</v>
      </c>
      <c r="L1167" s="382" t="s">
        <v>19</v>
      </c>
      <c r="M1167" s="30"/>
      <c r="N1167" s="30">
        <v>27.14</v>
      </c>
      <c r="O1167" s="287">
        <f t="shared" si="357"/>
        <v>0</v>
      </c>
      <c r="P1167" s="287">
        <f t="shared" si="358"/>
        <v>0</v>
      </c>
      <c r="Q1167" s="288"/>
      <c r="R1167" s="243"/>
      <c r="S1167" s="378" t="str">
        <f t="shared" si="355"/>
        <v/>
      </c>
      <c r="U1167" s="722"/>
    </row>
    <row r="1168" spans="2:21" ht="25.5" hidden="1" x14ac:dyDescent="0.2">
      <c r="B1168" s="595">
        <v>91924</v>
      </c>
      <c r="C1168" s="596" t="s">
        <v>817</v>
      </c>
      <c r="D1168" s="597" t="s">
        <v>1261</v>
      </c>
      <c r="E1168" s="589"/>
      <c r="F1168" s="590"/>
      <c r="G1168" s="591"/>
      <c r="H1168" s="592"/>
      <c r="I1168" s="631">
        <v>2.88</v>
      </c>
      <c r="J1168" s="631">
        <f t="shared" si="354"/>
        <v>2.88</v>
      </c>
      <c r="K1168" s="593">
        <f t="shared" si="356"/>
        <v>3.65</v>
      </c>
      <c r="L1168" s="382" t="s">
        <v>19</v>
      </c>
      <c r="M1168" s="30"/>
      <c r="N1168" s="30">
        <v>3.65</v>
      </c>
      <c r="O1168" s="287">
        <f t="shared" si="357"/>
        <v>0</v>
      </c>
      <c r="P1168" s="287">
        <f t="shared" si="358"/>
        <v>0</v>
      </c>
      <c r="Q1168" s="288"/>
      <c r="R1168" s="243"/>
      <c r="S1168" s="378" t="str">
        <f t="shared" si="355"/>
        <v/>
      </c>
      <c r="U1168" s="722"/>
    </row>
    <row r="1169" spans="2:21" ht="25.5" hidden="1" x14ac:dyDescent="0.2">
      <c r="B1169" s="595">
        <v>91926</v>
      </c>
      <c r="C1169" s="596" t="s">
        <v>817</v>
      </c>
      <c r="D1169" s="597" t="s">
        <v>1262</v>
      </c>
      <c r="E1169" s="589"/>
      <c r="F1169" s="590"/>
      <c r="G1169" s="591"/>
      <c r="H1169" s="592"/>
      <c r="I1169" s="631">
        <v>4.1500000000000004</v>
      </c>
      <c r="J1169" s="631">
        <f t="shared" si="354"/>
        <v>4.1500000000000004</v>
      </c>
      <c r="K1169" s="593">
        <f t="shared" si="356"/>
        <v>5.26</v>
      </c>
      <c r="L1169" s="382" t="s">
        <v>19</v>
      </c>
      <c r="M1169" s="30"/>
      <c r="N1169" s="30">
        <v>5.26</v>
      </c>
      <c r="O1169" s="287">
        <f t="shared" si="357"/>
        <v>0</v>
      </c>
      <c r="P1169" s="287">
        <f t="shared" si="358"/>
        <v>0</v>
      </c>
      <c r="Q1169" s="288"/>
      <c r="R1169" s="243"/>
      <c r="S1169" s="378" t="str">
        <f t="shared" si="355"/>
        <v/>
      </c>
      <c r="U1169" s="722"/>
    </row>
    <row r="1170" spans="2:21" ht="25.5" hidden="1" x14ac:dyDescent="0.2">
      <c r="B1170" s="595">
        <v>91928</v>
      </c>
      <c r="C1170" s="596" t="s">
        <v>817</v>
      </c>
      <c r="D1170" s="597" t="s">
        <v>1263</v>
      </c>
      <c r="E1170" s="589"/>
      <c r="F1170" s="590"/>
      <c r="G1170" s="591"/>
      <c r="H1170" s="592"/>
      <c r="I1170" s="631">
        <v>6.7</v>
      </c>
      <c r="J1170" s="631">
        <f t="shared" si="354"/>
        <v>6.7</v>
      </c>
      <c r="K1170" s="593">
        <f t="shared" si="356"/>
        <v>8.49</v>
      </c>
      <c r="L1170" s="382" t="s">
        <v>19</v>
      </c>
      <c r="M1170" s="30"/>
      <c r="N1170" s="30">
        <v>8.49</v>
      </c>
      <c r="O1170" s="287">
        <f t="shared" si="357"/>
        <v>0</v>
      </c>
      <c r="P1170" s="287">
        <f t="shared" si="358"/>
        <v>0</v>
      </c>
      <c r="Q1170" s="288"/>
      <c r="R1170" s="243"/>
      <c r="S1170" s="378" t="str">
        <f t="shared" si="355"/>
        <v/>
      </c>
      <c r="U1170" s="722"/>
    </row>
    <row r="1171" spans="2:21" ht="25.5" hidden="1" x14ac:dyDescent="0.2">
      <c r="B1171" s="595">
        <v>91930</v>
      </c>
      <c r="C1171" s="596" t="s">
        <v>817</v>
      </c>
      <c r="D1171" s="597" t="s">
        <v>1264</v>
      </c>
      <c r="E1171" s="589"/>
      <c r="F1171" s="590"/>
      <c r="G1171" s="591"/>
      <c r="H1171" s="592"/>
      <c r="I1171" s="631">
        <v>9.16</v>
      </c>
      <c r="J1171" s="631">
        <f t="shared" si="354"/>
        <v>9.16</v>
      </c>
      <c r="K1171" s="593">
        <f t="shared" si="356"/>
        <v>11.61</v>
      </c>
      <c r="L1171" s="382" t="s">
        <v>19</v>
      </c>
      <c r="M1171" s="30"/>
      <c r="N1171" s="30">
        <v>11.61</v>
      </c>
      <c r="O1171" s="287">
        <f t="shared" si="357"/>
        <v>0</v>
      </c>
      <c r="P1171" s="287">
        <f t="shared" si="358"/>
        <v>0</v>
      </c>
      <c r="Q1171" s="288"/>
      <c r="R1171" s="243"/>
      <c r="S1171" s="378" t="str">
        <f t="shared" si="355"/>
        <v/>
      </c>
      <c r="U1171" s="722"/>
    </row>
    <row r="1172" spans="2:21" ht="25.5" hidden="1" x14ac:dyDescent="0.2">
      <c r="B1172" s="595">
        <v>91932</v>
      </c>
      <c r="C1172" s="596" t="s">
        <v>817</v>
      </c>
      <c r="D1172" s="597" t="s">
        <v>1265</v>
      </c>
      <c r="E1172" s="589"/>
      <c r="F1172" s="590"/>
      <c r="G1172" s="591"/>
      <c r="H1172" s="592"/>
      <c r="I1172" s="631">
        <v>15.03</v>
      </c>
      <c r="J1172" s="631">
        <f t="shared" si="354"/>
        <v>15.03</v>
      </c>
      <c r="K1172" s="593">
        <f t="shared" si="356"/>
        <v>19.05</v>
      </c>
      <c r="L1172" s="382" t="s">
        <v>19</v>
      </c>
      <c r="M1172" s="30"/>
      <c r="N1172" s="30">
        <v>19.05</v>
      </c>
      <c r="O1172" s="287">
        <f t="shared" si="357"/>
        <v>0</v>
      </c>
      <c r="P1172" s="287">
        <f t="shared" si="358"/>
        <v>0</v>
      </c>
      <c r="Q1172" s="288"/>
      <c r="R1172" s="243"/>
      <c r="S1172" s="378" t="str">
        <f t="shared" si="355"/>
        <v/>
      </c>
      <c r="U1172" s="722"/>
    </row>
    <row r="1173" spans="2:21" ht="25.5" hidden="1" x14ac:dyDescent="0.2">
      <c r="B1173" s="595">
        <v>91934</v>
      </c>
      <c r="C1173" s="596" t="s">
        <v>817</v>
      </c>
      <c r="D1173" s="597" t="s">
        <v>1266</v>
      </c>
      <c r="E1173" s="589"/>
      <c r="F1173" s="590"/>
      <c r="G1173" s="591"/>
      <c r="H1173" s="592"/>
      <c r="I1173" s="631">
        <v>22.95</v>
      </c>
      <c r="J1173" s="631">
        <f t="shared" si="354"/>
        <v>22.95</v>
      </c>
      <c r="K1173" s="593">
        <f t="shared" si="356"/>
        <v>29.09</v>
      </c>
      <c r="L1173" s="382" t="s">
        <v>19</v>
      </c>
      <c r="M1173" s="30"/>
      <c r="N1173" s="30">
        <v>29.09</v>
      </c>
      <c r="O1173" s="287">
        <f t="shared" si="357"/>
        <v>0</v>
      </c>
      <c r="P1173" s="287">
        <f t="shared" si="358"/>
        <v>0</v>
      </c>
      <c r="Q1173" s="288"/>
      <c r="R1173" s="243"/>
      <c r="S1173" s="378" t="str">
        <f t="shared" si="355"/>
        <v/>
      </c>
      <c r="U1173" s="722"/>
    </row>
    <row r="1174" spans="2:21" ht="25.5" hidden="1" x14ac:dyDescent="0.2">
      <c r="B1174" s="595">
        <v>92979</v>
      </c>
      <c r="C1174" s="596" t="s">
        <v>817</v>
      </c>
      <c r="D1174" s="597" t="s">
        <v>1267</v>
      </c>
      <c r="E1174" s="589"/>
      <c r="F1174" s="590"/>
      <c r="G1174" s="591"/>
      <c r="H1174" s="592"/>
      <c r="I1174" s="631">
        <v>10.06</v>
      </c>
      <c r="J1174" s="631">
        <f t="shared" si="354"/>
        <v>10.06</v>
      </c>
      <c r="K1174" s="593">
        <f t="shared" si="356"/>
        <v>12.75</v>
      </c>
      <c r="L1174" s="382" t="s">
        <v>19</v>
      </c>
      <c r="M1174" s="30"/>
      <c r="N1174" s="30">
        <v>12.75</v>
      </c>
      <c r="O1174" s="287">
        <f t="shared" si="357"/>
        <v>0</v>
      </c>
      <c r="P1174" s="287">
        <f t="shared" si="358"/>
        <v>0</v>
      </c>
      <c r="Q1174" s="288"/>
      <c r="R1174" s="243"/>
      <c r="S1174" s="378" t="str">
        <f t="shared" si="355"/>
        <v/>
      </c>
      <c r="U1174" s="722"/>
    </row>
    <row r="1175" spans="2:21" ht="25.5" hidden="1" x14ac:dyDescent="0.2">
      <c r="B1175" s="595">
        <v>92981</v>
      </c>
      <c r="C1175" s="596" t="s">
        <v>817</v>
      </c>
      <c r="D1175" s="597" t="s">
        <v>1268</v>
      </c>
      <c r="E1175" s="589"/>
      <c r="F1175" s="590"/>
      <c r="G1175" s="591"/>
      <c r="H1175" s="592"/>
      <c r="I1175" s="631">
        <v>15.44</v>
      </c>
      <c r="J1175" s="631">
        <f t="shared" si="354"/>
        <v>15.44</v>
      </c>
      <c r="K1175" s="593">
        <f t="shared" si="356"/>
        <v>19.57</v>
      </c>
      <c r="L1175" s="382" t="s">
        <v>19</v>
      </c>
      <c r="M1175" s="30"/>
      <c r="N1175" s="30">
        <v>19.57</v>
      </c>
      <c r="O1175" s="287">
        <f t="shared" si="357"/>
        <v>0</v>
      </c>
      <c r="P1175" s="287">
        <f t="shared" si="358"/>
        <v>0</v>
      </c>
      <c r="Q1175" s="288"/>
      <c r="R1175" s="243"/>
      <c r="S1175" s="378" t="str">
        <f t="shared" si="355"/>
        <v/>
      </c>
      <c r="U1175" s="722"/>
    </row>
    <row r="1176" spans="2:21" ht="25.5" hidden="1" x14ac:dyDescent="0.2">
      <c r="B1176" s="595">
        <v>91925</v>
      </c>
      <c r="C1176" s="596" t="s">
        <v>817</v>
      </c>
      <c r="D1176" s="597" t="s">
        <v>1269</v>
      </c>
      <c r="E1176" s="589"/>
      <c r="F1176" s="590"/>
      <c r="G1176" s="591"/>
      <c r="H1176" s="592"/>
      <c r="I1176" s="631">
        <v>4.0199999999999996</v>
      </c>
      <c r="J1176" s="631">
        <f t="shared" ref="J1176:J1236" si="359">IF(ISBLANK(I1176),"",SUM(H1176:I1176))</f>
        <v>4.0199999999999996</v>
      </c>
      <c r="K1176" s="593">
        <f t="shared" si="356"/>
        <v>5.0999999999999996</v>
      </c>
      <c r="L1176" s="382" t="s">
        <v>19</v>
      </c>
      <c r="M1176" s="30"/>
      <c r="N1176" s="30">
        <v>5.0999999999999996</v>
      </c>
      <c r="O1176" s="287">
        <f t="shared" si="357"/>
        <v>0</v>
      </c>
      <c r="P1176" s="287">
        <f t="shared" si="358"/>
        <v>0</v>
      </c>
      <c r="Q1176" s="288"/>
      <c r="R1176" s="243"/>
      <c r="S1176" s="378" t="str">
        <f t="shared" si="355"/>
        <v/>
      </c>
      <c r="U1176" s="722"/>
    </row>
    <row r="1177" spans="2:21" ht="25.5" hidden="1" x14ac:dyDescent="0.2">
      <c r="B1177" s="595">
        <v>91927</v>
      </c>
      <c r="C1177" s="596" t="s">
        <v>817</v>
      </c>
      <c r="D1177" s="597" t="s">
        <v>1270</v>
      </c>
      <c r="E1177" s="589"/>
      <c r="F1177" s="590"/>
      <c r="G1177" s="591"/>
      <c r="H1177" s="592"/>
      <c r="I1177" s="631">
        <v>5.41</v>
      </c>
      <c r="J1177" s="631">
        <f t="shared" si="359"/>
        <v>5.41</v>
      </c>
      <c r="K1177" s="593">
        <f t="shared" si="356"/>
        <v>6.86</v>
      </c>
      <c r="L1177" s="382" t="s">
        <v>19</v>
      </c>
      <c r="M1177" s="30"/>
      <c r="N1177" s="30">
        <v>6.86</v>
      </c>
      <c r="O1177" s="287">
        <f t="shared" si="357"/>
        <v>0</v>
      </c>
      <c r="P1177" s="287">
        <f t="shared" si="358"/>
        <v>0</v>
      </c>
      <c r="Q1177" s="288"/>
      <c r="R1177" s="243"/>
      <c r="S1177" s="378" t="str">
        <f t="shared" si="355"/>
        <v/>
      </c>
      <c r="U1177" s="722"/>
    </row>
    <row r="1178" spans="2:21" ht="25.5" hidden="1" x14ac:dyDescent="0.2">
      <c r="B1178" s="595">
        <v>91929</v>
      </c>
      <c r="C1178" s="596" t="s">
        <v>817</v>
      </c>
      <c r="D1178" s="597" t="s">
        <v>1271</v>
      </c>
      <c r="E1178" s="589"/>
      <c r="F1178" s="590"/>
      <c r="G1178" s="591"/>
      <c r="H1178" s="592"/>
      <c r="I1178" s="631">
        <v>7.58</v>
      </c>
      <c r="J1178" s="631">
        <f t="shared" si="359"/>
        <v>7.58</v>
      </c>
      <c r="K1178" s="593">
        <f t="shared" si="356"/>
        <v>9.61</v>
      </c>
      <c r="L1178" s="382" t="s">
        <v>19</v>
      </c>
      <c r="M1178" s="30"/>
      <c r="N1178" s="30">
        <v>9.61</v>
      </c>
      <c r="O1178" s="287">
        <f t="shared" si="357"/>
        <v>0</v>
      </c>
      <c r="P1178" s="287">
        <f t="shared" si="358"/>
        <v>0</v>
      </c>
      <c r="Q1178" s="288"/>
      <c r="R1178" s="243"/>
      <c r="S1178" s="378" t="str">
        <f t="shared" si="355"/>
        <v/>
      </c>
      <c r="U1178" s="722"/>
    </row>
    <row r="1179" spans="2:21" ht="25.5" hidden="1" x14ac:dyDescent="0.2">
      <c r="B1179" s="595">
        <v>91931</v>
      </c>
      <c r="C1179" s="596" t="s">
        <v>817</v>
      </c>
      <c r="D1179" s="597" t="s">
        <v>1272</v>
      </c>
      <c r="E1179" s="589"/>
      <c r="F1179" s="590"/>
      <c r="G1179" s="591"/>
      <c r="H1179" s="592"/>
      <c r="I1179" s="631">
        <v>10.220000000000001</v>
      </c>
      <c r="J1179" s="631">
        <f t="shared" si="359"/>
        <v>10.220000000000001</v>
      </c>
      <c r="K1179" s="593">
        <f t="shared" si="356"/>
        <v>12.95</v>
      </c>
      <c r="L1179" s="382" t="s">
        <v>19</v>
      </c>
      <c r="M1179" s="30"/>
      <c r="N1179" s="30">
        <v>12.95</v>
      </c>
      <c r="O1179" s="287">
        <f t="shared" si="357"/>
        <v>0</v>
      </c>
      <c r="P1179" s="287">
        <f t="shared" si="358"/>
        <v>0</v>
      </c>
      <c r="Q1179" s="288"/>
      <c r="R1179" s="243"/>
      <c r="S1179" s="378" t="str">
        <f t="shared" si="355"/>
        <v/>
      </c>
      <c r="U1179" s="722"/>
    </row>
    <row r="1180" spans="2:21" ht="25.5" hidden="1" x14ac:dyDescent="0.2">
      <c r="B1180" s="595">
        <v>91933</v>
      </c>
      <c r="C1180" s="596" t="s">
        <v>817</v>
      </c>
      <c r="D1180" s="597" t="s">
        <v>1273</v>
      </c>
      <c r="E1180" s="589"/>
      <c r="F1180" s="590"/>
      <c r="G1180" s="591"/>
      <c r="H1180" s="592"/>
      <c r="I1180" s="631">
        <v>16.04</v>
      </c>
      <c r="J1180" s="631">
        <f t="shared" si="359"/>
        <v>16.04</v>
      </c>
      <c r="K1180" s="593">
        <f t="shared" si="356"/>
        <v>20.329999999999998</v>
      </c>
      <c r="L1180" s="382" t="s">
        <v>19</v>
      </c>
      <c r="M1180" s="30"/>
      <c r="N1180" s="30">
        <v>20.329999999999998</v>
      </c>
      <c r="O1180" s="287">
        <f t="shared" si="357"/>
        <v>0</v>
      </c>
      <c r="P1180" s="287">
        <f t="shared" si="358"/>
        <v>0</v>
      </c>
      <c r="Q1180" s="288"/>
      <c r="R1180" s="243"/>
      <c r="S1180" s="378" t="str">
        <f t="shared" si="355"/>
        <v/>
      </c>
      <c r="U1180" s="722"/>
    </row>
    <row r="1181" spans="2:21" ht="25.5" hidden="1" x14ac:dyDescent="0.2">
      <c r="B1181" s="595">
        <v>91935</v>
      </c>
      <c r="C1181" s="596" t="s">
        <v>817</v>
      </c>
      <c r="D1181" s="597" t="s">
        <v>1274</v>
      </c>
      <c r="E1181" s="589"/>
      <c r="F1181" s="590"/>
      <c r="G1181" s="591"/>
      <c r="H1181" s="592"/>
      <c r="I1181" s="631">
        <v>24.42</v>
      </c>
      <c r="J1181" s="631">
        <f t="shared" si="359"/>
        <v>24.42</v>
      </c>
      <c r="K1181" s="593">
        <f t="shared" si="356"/>
        <v>30.95</v>
      </c>
      <c r="L1181" s="382" t="s">
        <v>19</v>
      </c>
      <c r="M1181" s="30"/>
      <c r="N1181" s="30">
        <v>30.95</v>
      </c>
      <c r="O1181" s="287">
        <f t="shared" si="357"/>
        <v>0</v>
      </c>
      <c r="P1181" s="287">
        <f t="shared" si="358"/>
        <v>0</v>
      </c>
      <c r="Q1181" s="288"/>
      <c r="R1181" s="243"/>
      <c r="S1181" s="378" t="str">
        <f t="shared" si="355"/>
        <v/>
      </c>
      <c r="U1181" s="722"/>
    </row>
    <row r="1182" spans="2:21" ht="25.5" hidden="1" x14ac:dyDescent="0.2">
      <c r="B1182" s="595">
        <v>92980</v>
      </c>
      <c r="C1182" s="596" t="s">
        <v>817</v>
      </c>
      <c r="D1182" s="597" t="s">
        <v>1275</v>
      </c>
      <c r="E1182" s="589"/>
      <c r="F1182" s="590"/>
      <c r="G1182" s="591"/>
      <c r="H1182" s="592"/>
      <c r="I1182" s="631">
        <v>10.93</v>
      </c>
      <c r="J1182" s="631">
        <f t="shared" si="359"/>
        <v>10.93</v>
      </c>
      <c r="K1182" s="593">
        <f t="shared" si="356"/>
        <v>13.85</v>
      </c>
      <c r="L1182" s="382" t="s">
        <v>19</v>
      </c>
      <c r="M1182" s="30"/>
      <c r="N1182" s="30">
        <v>13.85</v>
      </c>
      <c r="O1182" s="287">
        <f t="shared" si="357"/>
        <v>0</v>
      </c>
      <c r="P1182" s="287">
        <f t="shared" si="358"/>
        <v>0</v>
      </c>
      <c r="Q1182" s="288"/>
      <c r="R1182" s="243"/>
      <c r="S1182" s="378" t="str">
        <f t="shared" si="355"/>
        <v/>
      </c>
      <c r="U1182" s="722"/>
    </row>
    <row r="1183" spans="2:21" ht="25.5" hidden="1" x14ac:dyDescent="0.2">
      <c r="B1183" s="595">
        <v>92982</v>
      </c>
      <c r="C1183" s="596" t="s">
        <v>817</v>
      </c>
      <c r="D1183" s="597" t="s">
        <v>1276</v>
      </c>
      <c r="E1183" s="589"/>
      <c r="F1183" s="590"/>
      <c r="G1183" s="591"/>
      <c r="H1183" s="592"/>
      <c r="I1183" s="631">
        <v>16.71</v>
      </c>
      <c r="J1183" s="631">
        <f t="shared" si="359"/>
        <v>16.71</v>
      </c>
      <c r="K1183" s="593">
        <f t="shared" si="356"/>
        <v>21.18</v>
      </c>
      <c r="L1183" s="382" t="s">
        <v>19</v>
      </c>
      <c r="M1183" s="30"/>
      <c r="N1183" s="30">
        <v>21.18</v>
      </c>
      <c r="O1183" s="287">
        <f t="shared" si="357"/>
        <v>0</v>
      </c>
      <c r="P1183" s="287">
        <f t="shared" si="358"/>
        <v>0</v>
      </c>
      <c r="Q1183" s="288"/>
      <c r="R1183" s="243"/>
      <c r="S1183" s="378" t="str">
        <f t="shared" si="355"/>
        <v/>
      </c>
      <c r="U1183" s="722"/>
    </row>
    <row r="1184" spans="2:21" ht="25.5" hidden="1" x14ac:dyDescent="0.2">
      <c r="B1184" s="595">
        <v>92984</v>
      </c>
      <c r="C1184" s="596" t="s">
        <v>817</v>
      </c>
      <c r="D1184" s="597" t="s">
        <v>1277</v>
      </c>
      <c r="E1184" s="589"/>
      <c r="F1184" s="590"/>
      <c r="G1184" s="591"/>
      <c r="H1184" s="592"/>
      <c r="I1184" s="631">
        <v>27.21</v>
      </c>
      <c r="J1184" s="631">
        <f t="shared" si="359"/>
        <v>27.21</v>
      </c>
      <c r="K1184" s="593">
        <f t="shared" si="356"/>
        <v>34.49</v>
      </c>
      <c r="L1184" s="382" t="s">
        <v>19</v>
      </c>
      <c r="M1184" s="30"/>
      <c r="N1184" s="30">
        <v>34.49</v>
      </c>
      <c r="O1184" s="287">
        <f t="shared" si="357"/>
        <v>0</v>
      </c>
      <c r="P1184" s="287">
        <f t="shared" si="358"/>
        <v>0</v>
      </c>
      <c r="Q1184" s="288"/>
      <c r="R1184" s="243"/>
      <c r="S1184" s="378" t="str">
        <f t="shared" si="355"/>
        <v/>
      </c>
      <c r="U1184" s="722"/>
    </row>
    <row r="1185" spans="2:21" ht="25.5" hidden="1" x14ac:dyDescent="0.2">
      <c r="B1185" s="595">
        <v>92986</v>
      </c>
      <c r="C1185" s="596" t="s">
        <v>817</v>
      </c>
      <c r="D1185" s="597" t="s">
        <v>1278</v>
      </c>
      <c r="E1185" s="589"/>
      <c r="F1185" s="590"/>
      <c r="G1185" s="591"/>
      <c r="H1185" s="592"/>
      <c r="I1185" s="631">
        <v>36.78</v>
      </c>
      <c r="J1185" s="631">
        <f t="shared" si="359"/>
        <v>36.78</v>
      </c>
      <c r="K1185" s="593">
        <f t="shared" si="356"/>
        <v>46.62</v>
      </c>
      <c r="L1185" s="382" t="s">
        <v>19</v>
      </c>
      <c r="M1185" s="30"/>
      <c r="N1185" s="30">
        <v>46.62</v>
      </c>
      <c r="O1185" s="287">
        <f t="shared" si="357"/>
        <v>0</v>
      </c>
      <c r="P1185" s="287">
        <f t="shared" si="358"/>
        <v>0</v>
      </c>
      <c r="Q1185" s="288"/>
      <c r="R1185" s="243"/>
      <c r="S1185" s="378" t="str">
        <f t="shared" si="355"/>
        <v/>
      </c>
      <c r="U1185" s="722"/>
    </row>
    <row r="1186" spans="2:21" ht="25.5" hidden="1" x14ac:dyDescent="0.2">
      <c r="B1186" s="595">
        <v>92988</v>
      </c>
      <c r="C1186" s="596" t="s">
        <v>817</v>
      </c>
      <c r="D1186" s="597" t="s">
        <v>1279</v>
      </c>
      <c r="E1186" s="589"/>
      <c r="F1186" s="590"/>
      <c r="G1186" s="591"/>
      <c r="H1186" s="592"/>
      <c r="I1186" s="631">
        <v>51.58</v>
      </c>
      <c r="J1186" s="631">
        <f t="shared" si="359"/>
        <v>51.58</v>
      </c>
      <c r="K1186" s="593">
        <f t="shared" si="356"/>
        <v>65.38</v>
      </c>
      <c r="L1186" s="382" t="s">
        <v>19</v>
      </c>
      <c r="M1186" s="30"/>
      <c r="N1186" s="30">
        <v>65.38</v>
      </c>
      <c r="O1186" s="287">
        <f t="shared" si="357"/>
        <v>0</v>
      </c>
      <c r="P1186" s="287">
        <f t="shared" si="358"/>
        <v>0</v>
      </c>
      <c r="Q1186" s="288"/>
      <c r="R1186" s="243"/>
      <c r="S1186" s="378" t="str">
        <f t="shared" si="355"/>
        <v/>
      </c>
      <c r="U1186" s="722"/>
    </row>
    <row r="1187" spans="2:21" ht="25.5" hidden="1" x14ac:dyDescent="0.2">
      <c r="B1187" s="595">
        <v>92990</v>
      </c>
      <c r="C1187" s="596" t="s">
        <v>817</v>
      </c>
      <c r="D1187" s="597" t="s">
        <v>1280</v>
      </c>
      <c r="E1187" s="589"/>
      <c r="F1187" s="590"/>
      <c r="G1187" s="591"/>
      <c r="H1187" s="592"/>
      <c r="I1187" s="631">
        <v>70.709999999999994</v>
      </c>
      <c r="J1187" s="631">
        <f t="shared" si="359"/>
        <v>70.709999999999994</v>
      </c>
      <c r="K1187" s="593">
        <f t="shared" si="356"/>
        <v>89.62</v>
      </c>
      <c r="L1187" s="382" t="s">
        <v>19</v>
      </c>
      <c r="M1187" s="30"/>
      <c r="N1187" s="30">
        <v>89.62</v>
      </c>
      <c r="O1187" s="287">
        <f t="shared" si="357"/>
        <v>0</v>
      </c>
      <c r="P1187" s="287">
        <f t="shared" si="358"/>
        <v>0</v>
      </c>
      <c r="Q1187" s="288"/>
      <c r="R1187" s="243"/>
      <c r="S1187" s="378" t="str">
        <f t="shared" si="355"/>
        <v/>
      </c>
      <c r="U1187" s="722"/>
    </row>
    <row r="1188" spans="2:21" ht="25.5" hidden="1" x14ac:dyDescent="0.2">
      <c r="B1188" s="595">
        <v>92992</v>
      </c>
      <c r="C1188" s="596" t="s">
        <v>817</v>
      </c>
      <c r="D1188" s="597" t="s">
        <v>1281</v>
      </c>
      <c r="E1188" s="589"/>
      <c r="F1188" s="590"/>
      <c r="G1188" s="591"/>
      <c r="H1188" s="592"/>
      <c r="I1188" s="631">
        <v>93.37</v>
      </c>
      <c r="J1188" s="631">
        <f t="shared" si="359"/>
        <v>93.37</v>
      </c>
      <c r="K1188" s="593">
        <f t="shared" si="356"/>
        <v>118.35</v>
      </c>
      <c r="L1188" s="382" t="s">
        <v>19</v>
      </c>
      <c r="M1188" s="30"/>
      <c r="N1188" s="30">
        <v>118.35</v>
      </c>
      <c r="O1188" s="287">
        <f t="shared" si="357"/>
        <v>0</v>
      </c>
      <c r="P1188" s="287">
        <f t="shared" si="358"/>
        <v>0</v>
      </c>
      <c r="Q1188" s="288"/>
      <c r="R1188" s="243"/>
      <c r="S1188" s="378" t="str">
        <f t="shared" si="355"/>
        <v/>
      </c>
      <c r="U1188" s="722"/>
    </row>
    <row r="1189" spans="2:21" ht="25.5" hidden="1" x14ac:dyDescent="0.2">
      <c r="B1189" s="595">
        <v>92994</v>
      </c>
      <c r="C1189" s="596" t="s">
        <v>817</v>
      </c>
      <c r="D1189" s="597" t="s">
        <v>1282</v>
      </c>
      <c r="E1189" s="589"/>
      <c r="F1189" s="590"/>
      <c r="G1189" s="591"/>
      <c r="H1189" s="592"/>
      <c r="I1189" s="631">
        <v>120.79</v>
      </c>
      <c r="J1189" s="631">
        <f t="shared" si="359"/>
        <v>120.79</v>
      </c>
      <c r="K1189" s="593">
        <f t="shared" si="356"/>
        <v>153.1</v>
      </c>
      <c r="L1189" s="382" t="s">
        <v>19</v>
      </c>
      <c r="M1189" s="30"/>
      <c r="N1189" s="30">
        <v>153.1</v>
      </c>
      <c r="O1189" s="287">
        <f t="shared" si="357"/>
        <v>0</v>
      </c>
      <c r="P1189" s="287">
        <f t="shared" si="358"/>
        <v>0</v>
      </c>
      <c r="Q1189" s="288"/>
      <c r="R1189" s="243"/>
      <c r="S1189" s="378" t="str">
        <f t="shared" si="355"/>
        <v/>
      </c>
      <c r="U1189" s="722"/>
    </row>
    <row r="1190" spans="2:21" ht="25.5" hidden="1" x14ac:dyDescent="0.2">
      <c r="B1190" s="595">
        <v>92996</v>
      </c>
      <c r="C1190" s="596" t="s">
        <v>817</v>
      </c>
      <c r="D1190" s="597" t="s">
        <v>1283</v>
      </c>
      <c r="E1190" s="589"/>
      <c r="F1190" s="590"/>
      <c r="G1190" s="591"/>
      <c r="H1190" s="592"/>
      <c r="I1190" s="631">
        <v>149.24</v>
      </c>
      <c r="J1190" s="631">
        <f t="shared" si="359"/>
        <v>149.24</v>
      </c>
      <c r="K1190" s="593">
        <f t="shared" si="356"/>
        <v>189.16</v>
      </c>
      <c r="L1190" s="382" t="s">
        <v>19</v>
      </c>
      <c r="M1190" s="30"/>
      <c r="N1190" s="30">
        <v>189.16</v>
      </c>
      <c r="O1190" s="287">
        <f t="shared" si="357"/>
        <v>0</v>
      </c>
      <c r="P1190" s="287">
        <f t="shared" si="358"/>
        <v>0</v>
      </c>
      <c r="Q1190" s="288"/>
      <c r="R1190" s="243"/>
      <c r="S1190" s="378" t="str">
        <f t="shared" si="355"/>
        <v/>
      </c>
      <c r="U1190" s="722"/>
    </row>
    <row r="1191" spans="2:21" ht="25.5" hidden="1" x14ac:dyDescent="0.2">
      <c r="B1191" s="595">
        <v>92998</v>
      </c>
      <c r="C1191" s="596" t="s">
        <v>817</v>
      </c>
      <c r="D1191" s="597" t="s">
        <v>1284</v>
      </c>
      <c r="E1191" s="589"/>
      <c r="F1191" s="590"/>
      <c r="G1191" s="591"/>
      <c r="H1191" s="592"/>
      <c r="I1191" s="631">
        <v>182.55</v>
      </c>
      <c r="J1191" s="631">
        <f t="shared" si="359"/>
        <v>182.55</v>
      </c>
      <c r="K1191" s="593">
        <f t="shared" si="356"/>
        <v>231.38</v>
      </c>
      <c r="L1191" s="382" t="s">
        <v>19</v>
      </c>
      <c r="M1191" s="30"/>
      <c r="N1191" s="30">
        <v>231.38</v>
      </c>
      <c r="O1191" s="287">
        <f t="shared" si="357"/>
        <v>0</v>
      </c>
      <c r="P1191" s="287">
        <f t="shared" si="358"/>
        <v>0</v>
      </c>
      <c r="Q1191" s="288"/>
      <c r="R1191" s="243"/>
      <c r="S1191" s="378" t="str">
        <f t="shared" si="355"/>
        <v/>
      </c>
      <c r="U1191" s="722"/>
    </row>
    <row r="1192" spans="2:21" ht="25.5" hidden="1" x14ac:dyDescent="0.2">
      <c r="B1192" s="595">
        <v>93000</v>
      </c>
      <c r="C1192" s="596" t="s">
        <v>817</v>
      </c>
      <c r="D1192" s="597" t="s">
        <v>1285</v>
      </c>
      <c r="E1192" s="589"/>
      <c r="F1192" s="590"/>
      <c r="G1192" s="591"/>
      <c r="H1192" s="592"/>
      <c r="I1192" s="631">
        <v>239.6</v>
      </c>
      <c r="J1192" s="631">
        <f t="shared" si="359"/>
        <v>239.6</v>
      </c>
      <c r="K1192" s="593">
        <f t="shared" si="356"/>
        <v>303.69</v>
      </c>
      <c r="L1192" s="382" t="s">
        <v>19</v>
      </c>
      <c r="M1192" s="30"/>
      <c r="N1192" s="30">
        <v>303.69</v>
      </c>
      <c r="O1192" s="287">
        <f t="shared" si="357"/>
        <v>0</v>
      </c>
      <c r="P1192" s="287">
        <f t="shared" si="358"/>
        <v>0</v>
      </c>
      <c r="Q1192" s="288"/>
      <c r="R1192" s="243"/>
      <c r="S1192" s="378" t="str">
        <f t="shared" si="355"/>
        <v/>
      </c>
      <c r="U1192" s="722"/>
    </row>
    <row r="1193" spans="2:21" ht="25.5" hidden="1" x14ac:dyDescent="0.2">
      <c r="B1193" s="595">
        <v>93002</v>
      </c>
      <c r="C1193" s="596" t="s">
        <v>817</v>
      </c>
      <c r="D1193" s="597" t="s">
        <v>1286</v>
      </c>
      <c r="E1193" s="589"/>
      <c r="F1193" s="590"/>
      <c r="G1193" s="591"/>
      <c r="H1193" s="592"/>
      <c r="I1193" s="631">
        <v>299.32</v>
      </c>
      <c r="J1193" s="631">
        <f t="shared" si="359"/>
        <v>299.32</v>
      </c>
      <c r="K1193" s="593">
        <f t="shared" si="356"/>
        <v>379.39</v>
      </c>
      <c r="L1193" s="382" t="s">
        <v>19</v>
      </c>
      <c r="M1193" s="30"/>
      <c r="N1193" s="30">
        <v>379.39</v>
      </c>
      <c r="O1193" s="287">
        <f t="shared" si="357"/>
        <v>0</v>
      </c>
      <c r="P1193" s="287">
        <f t="shared" si="358"/>
        <v>0</v>
      </c>
      <c r="Q1193" s="288"/>
      <c r="R1193" s="243"/>
      <c r="S1193" s="378" t="str">
        <f t="shared" si="355"/>
        <v/>
      </c>
      <c r="U1193" s="722"/>
    </row>
    <row r="1194" spans="2:21" ht="25.5" hidden="1" x14ac:dyDescent="0.2">
      <c r="B1194" s="595">
        <v>101884</v>
      </c>
      <c r="C1194" s="596" t="s">
        <v>817</v>
      </c>
      <c r="D1194" s="597" t="s">
        <v>1287</v>
      </c>
      <c r="E1194" s="589"/>
      <c r="F1194" s="590"/>
      <c r="G1194" s="591"/>
      <c r="H1194" s="592"/>
      <c r="I1194" s="631">
        <v>9.8000000000000007</v>
      </c>
      <c r="J1194" s="631">
        <f t="shared" si="359"/>
        <v>9.8000000000000007</v>
      </c>
      <c r="K1194" s="593">
        <f t="shared" si="356"/>
        <v>12.42</v>
      </c>
      <c r="L1194" s="382" t="s">
        <v>19</v>
      </c>
      <c r="M1194" s="30"/>
      <c r="N1194" s="30">
        <v>12.42</v>
      </c>
      <c r="O1194" s="287">
        <f t="shared" si="357"/>
        <v>0</v>
      </c>
      <c r="P1194" s="287">
        <f t="shared" si="358"/>
        <v>0</v>
      </c>
      <c r="Q1194" s="288"/>
      <c r="R1194" s="243"/>
      <c r="S1194" s="378" t="str">
        <f t="shared" si="355"/>
        <v/>
      </c>
      <c r="U1194" s="722"/>
    </row>
    <row r="1195" spans="2:21" ht="25.5" hidden="1" x14ac:dyDescent="0.2">
      <c r="B1195" s="595">
        <v>101885</v>
      </c>
      <c r="C1195" s="596" t="s">
        <v>817</v>
      </c>
      <c r="D1195" s="597" t="s">
        <v>1288</v>
      </c>
      <c r="E1195" s="589"/>
      <c r="F1195" s="590"/>
      <c r="G1195" s="591"/>
      <c r="H1195" s="592"/>
      <c r="I1195" s="631">
        <v>10.67</v>
      </c>
      <c r="J1195" s="631">
        <f t="shared" si="359"/>
        <v>10.67</v>
      </c>
      <c r="K1195" s="593">
        <f t="shared" si="356"/>
        <v>13.52</v>
      </c>
      <c r="L1195" s="382" t="s">
        <v>19</v>
      </c>
      <c r="M1195" s="30"/>
      <c r="N1195" s="30">
        <v>13.52</v>
      </c>
      <c r="O1195" s="287">
        <f t="shared" si="357"/>
        <v>0</v>
      </c>
      <c r="P1195" s="287">
        <f t="shared" si="358"/>
        <v>0</v>
      </c>
      <c r="Q1195" s="288"/>
      <c r="R1195" s="243"/>
      <c r="S1195" s="378" t="str">
        <f t="shared" si="355"/>
        <v/>
      </c>
      <c r="U1195" s="722"/>
    </row>
    <row r="1196" spans="2:21" ht="25.5" hidden="1" x14ac:dyDescent="0.2">
      <c r="B1196" s="595">
        <v>101886</v>
      </c>
      <c r="C1196" s="596" t="s">
        <v>817</v>
      </c>
      <c r="D1196" s="597" t="s">
        <v>1289</v>
      </c>
      <c r="E1196" s="589"/>
      <c r="F1196" s="590"/>
      <c r="G1196" s="591"/>
      <c r="H1196" s="592"/>
      <c r="I1196" s="631">
        <v>15.14</v>
      </c>
      <c r="J1196" s="631">
        <f t="shared" si="359"/>
        <v>15.14</v>
      </c>
      <c r="K1196" s="593">
        <f t="shared" si="356"/>
        <v>19.190000000000001</v>
      </c>
      <c r="L1196" s="382" t="s">
        <v>19</v>
      </c>
      <c r="M1196" s="30"/>
      <c r="N1196" s="30">
        <v>19.190000000000001</v>
      </c>
      <c r="O1196" s="287">
        <f t="shared" si="357"/>
        <v>0</v>
      </c>
      <c r="P1196" s="287">
        <f t="shared" si="358"/>
        <v>0</v>
      </c>
      <c r="Q1196" s="288"/>
      <c r="R1196" s="243"/>
      <c r="S1196" s="378" t="str">
        <f t="shared" si="355"/>
        <v/>
      </c>
      <c r="U1196" s="722"/>
    </row>
    <row r="1197" spans="2:21" ht="25.5" hidden="1" x14ac:dyDescent="0.2">
      <c r="B1197" s="595">
        <v>101887</v>
      </c>
      <c r="C1197" s="596" t="s">
        <v>817</v>
      </c>
      <c r="D1197" s="597" t="s">
        <v>1290</v>
      </c>
      <c r="E1197" s="589"/>
      <c r="F1197" s="590"/>
      <c r="G1197" s="591"/>
      <c r="H1197" s="592"/>
      <c r="I1197" s="631">
        <v>16.41</v>
      </c>
      <c r="J1197" s="631">
        <f t="shared" si="359"/>
        <v>16.41</v>
      </c>
      <c r="K1197" s="593">
        <f t="shared" si="356"/>
        <v>20.8</v>
      </c>
      <c r="L1197" s="382" t="s">
        <v>19</v>
      </c>
      <c r="M1197" s="30"/>
      <c r="N1197" s="30">
        <v>20.8</v>
      </c>
      <c r="O1197" s="287">
        <f t="shared" si="357"/>
        <v>0</v>
      </c>
      <c r="P1197" s="287">
        <f t="shared" si="358"/>
        <v>0</v>
      </c>
      <c r="Q1197" s="288"/>
      <c r="R1197" s="243"/>
      <c r="S1197" s="378" t="str">
        <f t="shared" si="355"/>
        <v/>
      </c>
      <c r="U1197" s="722"/>
    </row>
    <row r="1198" spans="2:21" ht="25.5" hidden="1" x14ac:dyDescent="0.2">
      <c r="B1198" s="595">
        <v>101888</v>
      </c>
      <c r="C1198" s="596" t="s">
        <v>817</v>
      </c>
      <c r="D1198" s="597" t="s">
        <v>1291</v>
      </c>
      <c r="E1198" s="589"/>
      <c r="F1198" s="590"/>
      <c r="G1198" s="591"/>
      <c r="H1198" s="592"/>
      <c r="I1198" s="631">
        <v>24.32</v>
      </c>
      <c r="J1198" s="631">
        <f t="shared" si="359"/>
        <v>24.32</v>
      </c>
      <c r="K1198" s="593">
        <f t="shared" si="356"/>
        <v>30.83</v>
      </c>
      <c r="L1198" s="382" t="s">
        <v>19</v>
      </c>
      <c r="M1198" s="30"/>
      <c r="N1198" s="30">
        <v>30.83</v>
      </c>
      <c r="O1198" s="287">
        <f t="shared" si="357"/>
        <v>0</v>
      </c>
      <c r="P1198" s="287">
        <f t="shared" si="358"/>
        <v>0</v>
      </c>
      <c r="Q1198" s="288"/>
      <c r="R1198" s="243"/>
      <c r="S1198" s="378" t="str">
        <f t="shared" si="355"/>
        <v/>
      </c>
      <c r="U1198" s="722"/>
    </row>
    <row r="1199" spans="2:21" ht="25.5" hidden="1" x14ac:dyDescent="0.2">
      <c r="B1199" s="595">
        <v>101889</v>
      </c>
      <c r="C1199" s="596" t="s">
        <v>817</v>
      </c>
      <c r="D1199" s="597" t="s">
        <v>1292</v>
      </c>
      <c r="E1199" s="589"/>
      <c r="F1199" s="590"/>
      <c r="G1199" s="591"/>
      <c r="H1199" s="592"/>
      <c r="I1199" s="631">
        <v>25.03</v>
      </c>
      <c r="J1199" s="631">
        <f t="shared" si="359"/>
        <v>25.03</v>
      </c>
      <c r="K1199" s="593">
        <f t="shared" si="356"/>
        <v>31.73</v>
      </c>
      <c r="L1199" s="382" t="s">
        <v>19</v>
      </c>
      <c r="M1199" s="30"/>
      <c r="N1199" s="30">
        <v>31.73</v>
      </c>
      <c r="O1199" s="287">
        <f t="shared" si="357"/>
        <v>0</v>
      </c>
      <c r="P1199" s="287">
        <f t="shared" si="358"/>
        <v>0</v>
      </c>
      <c r="Q1199" s="288"/>
      <c r="R1199" s="243"/>
      <c r="S1199" s="378" t="str">
        <f t="shared" si="355"/>
        <v/>
      </c>
      <c r="U1199" s="722"/>
    </row>
    <row r="1200" spans="2:21" ht="25.5" hidden="1" x14ac:dyDescent="0.2">
      <c r="B1200" s="595">
        <v>101560</v>
      </c>
      <c r="C1200" s="596" t="s">
        <v>817</v>
      </c>
      <c r="D1200" s="597" t="s">
        <v>1293</v>
      </c>
      <c r="E1200" s="589"/>
      <c r="F1200" s="590"/>
      <c r="G1200" s="591"/>
      <c r="H1200" s="592"/>
      <c r="I1200" s="631">
        <v>10.65</v>
      </c>
      <c r="J1200" s="631">
        <f t="shared" si="359"/>
        <v>10.65</v>
      </c>
      <c r="K1200" s="593">
        <f t="shared" si="356"/>
        <v>13.5</v>
      </c>
      <c r="L1200" s="382" t="s">
        <v>19</v>
      </c>
      <c r="M1200" s="30"/>
      <c r="N1200" s="30">
        <v>13.5</v>
      </c>
      <c r="O1200" s="287">
        <f t="shared" si="357"/>
        <v>0</v>
      </c>
      <c r="P1200" s="287">
        <f t="shared" si="358"/>
        <v>0</v>
      </c>
      <c r="Q1200" s="288"/>
      <c r="R1200" s="243"/>
      <c r="S1200" s="378" t="str">
        <f t="shared" si="355"/>
        <v/>
      </c>
      <c r="U1200" s="722"/>
    </row>
    <row r="1201" spans="2:21" ht="25.5" hidden="1" x14ac:dyDescent="0.2">
      <c r="B1201" s="595">
        <v>101561</v>
      </c>
      <c r="C1201" s="596" t="s">
        <v>817</v>
      </c>
      <c r="D1201" s="597" t="s">
        <v>1294</v>
      </c>
      <c r="E1201" s="589"/>
      <c r="F1201" s="590"/>
      <c r="G1201" s="591"/>
      <c r="H1201" s="592"/>
      <c r="I1201" s="631">
        <v>16.29</v>
      </c>
      <c r="J1201" s="631">
        <f t="shared" si="359"/>
        <v>16.29</v>
      </c>
      <c r="K1201" s="593">
        <f t="shared" si="356"/>
        <v>20.65</v>
      </c>
      <c r="L1201" s="382" t="s">
        <v>19</v>
      </c>
      <c r="M1201" s="30"/>
      <c r="N1201" s="30">
        <v>20.65</v>
      </c>
      <c r="O1201" s="287">
        <f t="shared" si="357"/>
        <v>0</v>
      </c>
      <c r="P1201" s="287">
        <f t="shared" si="358"/>
        <v>0</v>
      </c>
      <c r="Q1201" s="288"/>
      <c r="R1201" s="243"/>
      <c r="S1201" s="378" t="str">
        <f t="shared" si="355"/>
        <v/>
      </c>
      <c r="U1201" s="722"/>
    </row>
    <row r="1202" spans="2:21" ht="25.5" hidden="1" x14ac:dyDescent="0.2">
      <c r="B1202" s="595">
        <v>101562</v>
      </c>
      <c r="C1202" s="596" t="s">
        <v>817</v>
      </c>
      <c r="D1202" s="597" t="s">
        <v>1295</v>
      </c>
      <c r="E1202" s="589"/>
      <c r="F1202" s="590"/>
      <c r="G1202" s="591"/>
      <c r="H1202" s="592"/>
      <c r="I1202" s="631">
        <v>24.77</v>
      </c>
      <c r="J1202" s="631">
        <f t="shared" si="359"/>
        <v>24.77</v>
      </c>
      <c r="K1202" s="593">
        <f t="shared" si="356"/>
        <v>31.4</v>
      </c>
      <c r="L1202" s="382" t="s">
        <v>19</v>
      </c>
      <c r="M1202" s="30"/>
      <c r="N1202" s="30">
        <v>31.4</v>
      </c>
      <c r="O1202" s="287">
        <f t="shared" si="357"/>
        <v>0</v>
      </c>
      <c r="P1202" s="287">
        <f t="shared" si="358"/>
        <v>0</v>
      </c>
      <c r="Q1202" s="288"/>
      <c r="R1202" s="243"/>
      <c r="S1202" s="378" t="str">
        <f t="shared" si="355"/>
        <v/>
      </c>
      <c r="U1202" s="722"/>
    </row>
    <row r="1203" spans="2:21" ht="25.5" hidden="1" x14ac:dyDescent="0.2">
      <c r="B1203" s="595">
        <v>101563</v>
      </c>
      <c r="C1203" s="596" t="s">
        <v>817</v>
      </c>
      <c r="D1203" s="597" t="s">
        <v>1296</v>
      </c>
      <c r="E1203" s="589"/>
      <c r="F1203" s="590"/>
      <c r="G1203" s="591"/>
      <c r="H1203" s="592"/>
      <c r="I1203" s="631">
        <v>34.11</v>
      </c>
      <c r="J1203" s="631">
        <f t="shared" si="359"/>
        <v>34.11</v>
      </c>
      <c r="K1203" s="593">
        <f t="shared" si="356"/>
        <v>43.23</v>
      </c>
      <c r="L1203" s="382" t="s">
        <v>19</v>
      </c>
      <c r="M1203" s="30"/>
      <c r="N1203" s="30">
        <v>43.23</v>
      </c>
      <c r="O1203" s="287">
        <f t="shared" si="357"/>
        <v>0</v>
      </c>
      <c r="P1203" s="287">
        <f t="shared" si="358"/>
        <v>0</v>
      </c>
      <c r="Q1203" s="288"/>
      <c r="R1203" s="243"/>
      <c r="S1203" s="378" t="str">
        <f t="shared" si="355"/>
        <v/>
      </c>
      <c r="U1203" s="722"/>
    </row>
    <row r="1204" spans="2:21" ht="25.5" hidden="1" x14ac:dyDescent="0.2">
      <c r="B1204" s="595">
        <v>101564</v>
      </c>
      <c r="C1204" s="596" t="s">
        <v>817</v>
      </c>
      <c r="D1204" s="597" t="s">
        <v>1297</v>
      </c>
      <c r="E1204" s="589"/>
      <c r="F1204" s="590"/>
      <c r="G1204" s="591"/>
      <c r="H1204" s="592"/>
      <c r="I1204" s="631">
        <v>48.59</v>
      </c>
      <c r="J1204" s="631">
        <f t="shared" si="359"/>
        <v>48.59</v>
      </c>
      <c r="K1204" s="593">
        <f t="shared" si="356"/>
        <v>61.59</v>
      </c>
      <c r="L1204" s="382" t="s">
        <v>19</v>
      </c>
      <c r="M1204" s="30"/>
      <c r="N1204" s="30">
        <v>61.59</v>
      </c>
      <c r="O1204" s="287">
        <f t="shared" si="357"/>
        <v>0</v>
      </c>
      <c r="P1204" s="287">
        <f t="shared" si="358"/>
        <v>0</v>
      </c>
      <c r="Q1204" s="288"/>
      <c r="R1204" s="243"/>
      <c r="S1204" s="378" t="str">
        <f t="shared" si="355"/>
        <v/>
      </c>
      <c r="U1204" s="722"/>
    </row>
    <row r="1205" spans="2:21" ht="25.5" hidden="1" x14ac:dyDescent="0.2">
      <c r="B1205" s="595">
        <v>101565</v>
      </c>
      <c r="C1205" s="596" t="s">
        <v>817</v>
      </c>
      <c r="D1205" s="597" t="s">
        <v>1298</v>
      </c>
      <c r="E1205" s="589"/>
      <c r="F1205" s="590"/>
      <c r="G1205" s="591"/>
      <c r="H1205" s="592"/>
      <c r="I1205" s="631">
        <v>67.28</v>
      </c>
      <c r="J1205" s="631">
        <f t="shared" si="359"/>
        <v>67.28</v>
      </c>
      <c r="K1205" s="593">
        <f t="shared" si="356"/>
        <v>85.28</v>
      </c>
      <c r="L1205" s="382" t="s">
        <v>19</v>
      </c>
      <c r="M1205" s="30"/>
      <c r="N1205" s="30">
        <v>85.28</v>
      </c>
      <c r="O1205" s="287">
        <f t="shared" si="357"/>
        <v>0</v>
      </c>
      <c r="P1205" s="287">
        <f t="shared" si="358"/>
        <v>0</v>
      </c>
      <c r="Q1205" s="288"/>
      <c r="R1205" s="243"/>
      <c r="S1205" s="378" t="str">
        <f t="shared" ref="S1205:S1268" si="360">IF(R1205="x","x",IF(R1205="y","x",IF(R1205="xy","x",IF(P1205&gt;0,"x",""))))</f>
        <v/>
      </c>
      <c r="U1205" s="722"/>
    </row>
    <row r="1206" spans="2:21" ht="25.5" hidden="1" x14ac:dyDescent="0.2">
      <c r="B1206" s="595">
        <v>101567</v>
      </c>
      <c r="C1206" s="596" t="s">
        <v>817</v>
      </c>
      <c r="D1206" s="597" t="s">
        <v>1299</v>
      </c>
      <c r="E1206" s="589"/>
      <c r="F1206" s="590"/>
      <c r="G1206" s="591"/>
      <c r="H1206" s="592"/>
      <c r="I1206" s="631">
        <v>89.35</v>
      </c>
      <c r="J1206" s="631">
        <f t="shared" si="359"/>
        <v>89.35</v>
      </c>
      <c r="K1206" s="593">
        <f t="shared" si="356"/>
        <v>113.25</v>
      </c>
      <c r="L1206" s="382" t="s">
        <v>19</v>
      </c>
      <c r="M1206" s="30"/>
      <c r="N1206" s="30">
        <v>113.25</v>
      </c>
      <c r="O1206" s="287">
        <f t="shared" si="357"/>
        <v>0</v>
      </c>
      <c r="P1206" s="287">
        <f t="shared" si="358"/>
        <v>0</v>
      </c>
      <c r="Q1206" s="288"/>
      <c r="R1206" s="243"/>
      <c r="S1206" s="378" t="str">
        <f t="shared" si="360"/>
        <v/>
      </c>
      <c r="U1206" s="722"/>
    </row>
    <row r="1207" spans="2:21" ht="25.5" hidden="1" x14ac:dyDescent="0.2">
      <c r="B1207" s="595">
        <v>101568</v>
      </c>
      <c r="C1207" s="596" t="s">
        <v>817</v>
      </c>
      <c r="D1207" s="597" t="s">
        <v>1300</v>
      </c>
      <c r="E1207" s="589"/>
      <c r="F1207" s="590"/>
      <c r="G1207" s="591"/>
      <c r="H1207" s="592"/>
      <c r="I1207" s="631">
        <v>116.28</v>
      </c>
      <c r="J1207" s="631">
        <f t="shared" si="359"/>
        <v>116.28</v>
      </c>
      <c r="K1207" s="593">
        <f t="shared" si="356"/>
        <v>147.38</v>
      </c>
      <c r="L1207" s="382" t="s">
        <v>19</v>
      </c>
      <c r="M1207" s="30"/>
      <c r="N1207" s="30">
        <v>147.38</v>
      </c>
      <c r="O1207" s="287">
        <f t="shared" si="357"/>
        <v>0</v>
      </c>
      <c r="P1207" s="287">
        <f t="shared" si="358"/>
        <v>0</v>
      </c>
      <c r="Q1207" s="288"/>
      <c r="R1207" s="243"/>
      <c r="S1207" s="378" t="str">
        <f t="shared" si="360"/>
        <v/>
      </c>
      <c r="U1207" s="722"/>
    </row>
    <row r="1208" spans="2:21" ht="25.5" hidden="1" x14ac:dyDescent="0.2">
      <c r="B1208" s="595">
        <v>95777</v>
      </c>
      <c r="C1208" s="596" t="s">
        <v>817</v>
      </c>
      <c r="D1208" s="597" t="s">
        <v>1301</v>
      </c>
      <c r="E1208" s="589"/>
      <c r="F1208" s="590"/>
      <c r="G1208" s="591"/>
      <c r="H1208" s="592"/>
      <c r="I1208" s="631">
        <v>30.13</v>
      </c>
      <c r="J1208" s="631">
        <f t="shared" si="359"/>
        <v>30.13</v>
      </c>
      <c r="K1208" s="593">
        <f t="shared" si="356"/>
        <v>38.19</v>
      </c>
      <c r="L1208" s="382" t="s">
        <v>21</v>
      </c>
      <c r="M1208" s="30"/>
      <c r="N1208" s="30">
        <v>38.19</v>
      </c>
      <c r="O1208" s="287">
        <f t="shared" si="357"/>
        <v>0</v>
      </c>
      <c r="P1208" s="287">
        <f t="shared" si="358"/>
        <v>0</v>
      </c>
      <c r="Q1208" s="288"/>
      <c r="R1208" s="243"/>
      <c r="S1208" s="378" t="str">
        <f t="shared" si="360"/>
        <v/>
      </c>
      <c r="U1208" s="722"/>
    </row>
    <row r="1209" spans="2:21" ht="25.5" hidden="1" x14ac:dyDescent="0.2">
      <c r="B1209" s="595">
        <v>95778</v>
      </c>
      <c r="C1209" s="596" t="s">
        <v>817</v>
      </c>
      <c r="D1209" s="597" t="s">
        <v>1302</v>
      </c>
      <c r="E1209" s="589"/>
      <c r="F1209" s="590"/>
      <c r="G1209" s="591"/>
      <c r="H1209" s="592"/>
      <c r="I1209" s="631">
        <v>30.86</v>
      </c>
      <c r="J1209" s="631">
        <f t="shared" si="359"/>
        <v>30.86</v>
      </c>
      <c r="K1209" s="593">
        <f t="shared" si="356"/>
        <v>39.119999999999997</v>
      </c>
      <c r="L1209" s="382" t="s">
        <v>21</v>
      </c>
      <c r="M1209" s="30"/>
      <c r="N1209" s="30">
        <v>39.119999999999997</v>
      </c>
      <c r="O1209" s="287">
        <f t="shared" si="357"/>
        <v>0</v>
      </c>
      <c r="P1209" s="287">
        <f t="shared" si="358"/>
        <v>0</v>
      </c>
      <c r="Q1209" s="288"/>
      <c r="R1209" s="243"/>
      <c r="S1209" s="378" t="str">
        <f t="shared" si="360"/>
        <v/>
      </c>
      <c r="U1209" s="722"/>
    </row>
    <row r="1210" spans="2:21" ht="25.5" hidden="1" x14ac:dyDescent="0.2">
      <c r="B1210" s="595">
        <v>95779</v>
      </c>
      <c r="C1210" s="596" t="s">
        <v>817</v>
      </c>
      <c r="D1210" s="597" t="s">
        <v>1303</v>
      </c>
      <c r="E1210" s="589"/>
      <c r="F1210" s="590"/>
      <c r="G1210" s="591"/>
      <c r="H1210" s="592"/>
      <c r="I1210" s="631">
        <v>28.42</v>
      </c>
      <c r="J1210" s="631">
        <f t="shared" si="359"/>
        <v>28.42</v>
      </c>
      <c r="K1210" s="593">
        <f t="shared" si="356"/>
        <v>36.020000000000003</v>
      </c>
      <c r="L1210" s="382" t="s">
        <v>21</v>
      </c>
      <c r="M1210" s="30"/>
      <c r="N1210" s="30">
        <v>36.020000000000003</v>
      </c>
      <c r="O1210" s="287">
        <f t="shared" si="357"/>
        <v>0</v>
      </c>
      <c r="P1210" s="287">
        <f t="shared" si="358"/>
        <v>0</v>
      </c>
      <c r="Q1210" s="288"/>
      <c r="R1210" s="243"/>
      <c r="S1210" s="378" t="str">
        <f t="shared" si="360"/>
        <v/>
      </c>
      <c r="U1210" s="722"/>
    </row>
    <row r="1211" spans="2:21" ht="25.5" hidden="1" x14ac:dyDescent="0.2">
      <c r="B1211" s="595">
        <v>95780</v>
      </c>
      <c r="C1211" s="596" t="s">
        <v>817</v>
      </c>
      <c r="D1211" s="597" t="s">
        <v>1304</v>
      </c>
      <c r="E1211" s="589"/>
      <c r="F1211" s="590"/>
      <c r="G1211" s="591"/>
      <c r="H1211" s="592"/>
      <c r="I1211" s="631">
        <v>34.229999999999997</v>
      </c>
      <c r="J1211" s="631">
        <f t="shared" si="359"/>
        <v>34.229999999999997</v>
      </c>
      <c r="K1211" s="593">
        <f t="shared" si="356"/>
        <v>43.39</v>
      </c>
      <c r="L1211" s="382" t="s">
        <v>21</v>
      </c>
      <c r="M1211" s="30"/>
      <c r="N1211" s="30">
        <v>43.39</v>
      </c>
      <c r="O1211" s="287">
        <f t="shared" si="357"/>
        <v>0</v>
      </c>
      <c r="P1211" s="287">
        <f t="shared" si="358"/>
        <v>0</v>
      </c>
      <c r="Q1211" s="288"/>
      <c r="R1211" s="243"/>
      <c r="S1211" s="378" t="str">
        <f t="shared" si="360"/>
        <v/>
      </c>
      <c r="U1211" s="722"/>
    </row>
    <row r="1212" spans="2:21" ht="25.5" hidden="1" x14ac:dyDescent="0.2">
      <c r="B1212" s="595">
        <v>95781</v>
      </c>
      <c r="C1212" s="596" t="s">
        <v>817</v>
      </c>
      <c r="D1212" s="597" t="s">
        <v>1305</v>
      </c>
      <c r="E1212" s="589"/>
      <c r="F1212" s="590"/>
      <c r="G1212" s="591"/>
      <c r="H1212" s="592"/>
      <c r="I1212" s="631">
        <v>34.770000000000003</v>
      </c>
      <c r="J1212" s="631">
        <f t="shared" si="359"/>
        <v>34.770000000000003</v>
      </c>
      <c r="K1212" s="593">
        <f t="shared" ref="K1212:K1275" si="361">IF(ISBLANK(I1212),0,ROUND(J1212*(1+$F$10)*(1+$F$11*E1212),2))</f>
        <v>44.07</v>
      </c>
      <c r="L1212" s="382" t="s">
        <v>21</v>
      </c>
      <c r="M1212" s="30"/>
      <c r="N1212" s="30">
        <v>44.07</v>
      </c>
      <c r="O1212" s="287">
        <f t="shared" ref="O1212:O1275" si="362">IF(ISBLANK(M1212),0,ROUND(K1212*M1212,2))</f>
        <v>0</v>
      </c>
      <c r="P1212" s="287">
        <f t="shared" ref="P1212:P1275" si="363">IF(ISBLANK(N1212),0,ROUND(M1212*N1212,2))</f>
        <v>0</v>
      </c>
      <c r="Q1212" s="288"/>
      <c r="R1212" s="243"/>
      <c r="S1212" s="378" t="str">
        <f t="shared" si="360"/>
        <v/>
      </c>
      <c r="U1212" s="722"/>
    </row>
    <row r="1213" spans="2:21" ht="25.5" hidden="1" x14ac:dyDescent="0.2">
      <c r="B1213" s="595">
        <v>95782</v>
      </c>
      <c r="C1213" s="596" t="s">
        <v>817</v>
      </c>
      <c r="D1213" s="597" t="s">
        <v>1306</v>
      </c>
      <c r="E1213" s="589"/>
      <c r="F1213" s="590"/>
      <c r="G1213" s="591"/>
      <c r="H1213" s="592"/>
      <c r="I1213" s="631">
        <v>36.19</v>
      </c>
      <c r="J1213" s="631">
        <f t="shared" si="359"/>
        <v>36.19</v>
      </c>
      <c r="K1213" s="593">
        <f t="shared" si="361"/>
        <v>45.87</v>
      </c>
      <c r="L1213" s="382" t="s">
        <v>21</v>
      </c>
      <c r="M1213" s="30"/>
      <c r="N1213" s="30">
        <v>45.87</v>
      </c>
      <c r="O1213" s="287">
        <f t="shared" si="362"/>
        <v>0</v>
      </c>
      <c r="P1213" s="287">
        <f t="shared" si="363"/>
        <v>0</v>
      </c>
      <c r="Q1213" s="288"/>
      <c r="R1213" s="243"/>
      <c r="S1213" s="378" t="str">
        <f t="shared" si="360"/>
        <v/>
      </c>
      <c r="U1213" s="722"/>
    </row>
    <row r="1214" spans="2:21" ht="25.5" hidden="1" x14ac:dyDescent="0.2">
      <c r="B1214" s="595">
        <v>95785</v>
      </c>
      <c r="C1214" s="596" t="s">
        <v>817</v>
      </c>
      <c r="D1214" s="597" t="s">
        <v>1307</v>
      </c>
      <c r="E1214" s="589"/>
      <c r="F1214" s="590"/>
      <c r="G1214" s="591"/>
      <c r="H1214" s="592"/>
      <c r="I1214" s="631">
        <v>41.11</v>
      </c>
      <c r="J1214" s="631">
        <f t="shared" si="359"/>
        <v>41.11</v>
      </c>
      <c r="K1214" s="593">
        <f t="shared" si="361"/>
        <v>52.11</v>
      </c>
      <c r="L1214" s="382" t="s">
        <v>21</v>
      </c>
      <c r="M1214" s="30"/>
      <c r="N1214" s="30">
        <v>52.11</v>
      </c>
      <c r="O1214" s="287">
        <f t="shared" si="362"/>
        <v>0</v>
      </c>
      <c r="P1214" s="287">
        <f t="shared" si="363"/>
        <v>0</v>
      </c>
      <c r="Q1214" s="288"/>
      <c r="R1214" s="243"/>
      <c r="S1214" s="378" t="str">
        <f t="shared" si="360"/>
        <v/>
      </c>
      <c r="U1214" s="722"/>
    </row>
    <row r="1215" spans="2:21" ht="25.5" hidden="1" x14ac:dyDescent="0.2">
      <c r="B1215" s="595">
        <v>95787</v>
      </c>
      <c r="C1215" s="596" t="s">
        <v>817</v>
      </c>
      <c r="D1215" s="597" t="s">
        <v>1308</v>
      </c>
      <c r="E1215" s="589"/>
      <c r="F1215" s="590"/>
      <c r="G1215" s="591"/>
      <c r="H1215" s="592"/>
      <c r="I1215" s="631">
        <v>30.46</v>
      </c>
      <c r="J1215" s="631">
        <f t="shared" si="359"/>
        <v>30.46</v>
      </c>
      <c r="K1215" s="593">
        <f t="shared" si="361"/>
        <v>38.61</v>
      </c>
      <c r="L1215" s="382" t="s">
        <v>21</v>
      </c>
      <c r="M1215" s="30"/>
      <c r="N1215" s="30">
        <v>38.61</v>
      </c>
      <c r="O1215" s="287">
        <f t="shared" si="362"/>
        <v>0</v>
      </c>
      <c r="P1215" s="287">
        <f t="shared" si="363"/>
        <v>0</v>
      </c>
      <c r="Q1215" s="288"/>
      <c r="R1215" s="243"/>
      <c r="S1215" s="378" t="str">
        <f t="shared" si="360"/>
        <v/>
      </c>
      <c r="U1215" s="722"/>
    </row>
    <row r="1216" spans="2:21" ht="25.5" hidden="1" x14ac:dyDescent="0.2">
      <c r="B1216" s="595">
        <v>95789</v>
      </c>
      <c r="C1216" s="596" t="s">
        <v>817</v>
      </c>
      <c r="D1216" s="597" t="s">
        <v>1309</v>
      </c>
      <c r="E1216" s="589"/>
      <c r="F1216" s="590"/>
      <c r="G1216" s="591"/>
      <c r="H1216" s="592"/>
      <c r="I1216" s="631">
        <v>37.68</v>
      </c>
      <c r="J1216" s="631">
        <f t="shared" si="359"/>
        <v>37.68</v>
      </c>
      <c r="K1216" s="593">
        <f t="shared" si="361"/>
        <v>47.76</v>
      </c>
      <c r="L1216" s="382" t="s">
        <v>21</v>
      </c>
      <c r="M1216" s="30"/>
      <c r="N1216" s="30">
        <v>47.76</v>
      </c>
      <c r="O1216" s="287">
        <f t="shared" si="362"/>
        <v>0</v>
      </c>
      <c r="P1216" s="287">
        <f t="shared" si="363"/>
        <v>0</v>
      </c>
      <c r="Q1216" s="288"/>
      <c r="R1216" s="243"/>
      <c r="S1216" s="378" t="str">
        <f t="shared" si="360"/>
        <v/>
      </c>
      <c r="U1216" s="722"/>
    </row>
    <row r="1217" spans="2:21" ht="25.5" hidden="1" x14ac:dyDescent="0.2">
      <c r="B1217" s="595">
        <v>95791</v>
      </c>
      <c r="C1217" s="596" t="s">
        <v>817</v>
      </c>
      <c r="D1217" s="597" t="s">
        <v>1310</v>
      </c>
      <c r="E1217" s="589"/>
      <c r="F1217" s="590"/>
      <c r="G1217" s="591"/>
      <c r="H1217" s="592"/>
      <c r="I1217" s="631">
        <v>48.44</v>
      </c>
      <c r="J1217" s="631">
        <f t="shared" si="359"/>
        <v>48.44</v>
      </c>
      <c r="K1217" s="593">
        <f t="shared" si="361"/>
        <v>61.4</v>
      </c>
      <c r="L1217" s="382" t="s">
        <v>21</v>
      </c>
      <c r="M1217" s="30"/>
      <c r="N1217" s="30">
        <v>61.4</v>
      </c>
      <c r="O1217" s="287">
        <f t="shared" si="362"/>
        <v>0</v>
      </c>
      <c r="P1217" s="287">
        <f t="shared" si="363"/>
        <v>0</v>
      </c>
      <c r="Q1217" s="288"/>
      <c r="R1217" s="243"/>
      <c r="S1217" s="378" t="str">
        <f t="shared" si="360"/>
        <v/>
      </c>
      <c r="U1217" s="722"/>
    </row>
    <row r="1218" spans="2:21" ht="25.5" hidden="1" x14ac:dyDescent="0.2">
      <c r="B1218" s="595">
        <v>95795</v>
      </c>
      <c r="C1218" s="596" t="s">
        <v>817</v>
      </c>
      <c r="D1218" s="597" t="s">
        <v>1311</v>
      </c>
      <c r="E1218" s="589"/>
      <c r="F1218" s="590"/>
      <c r="G1218" s="591"/>
      <c r="H1218" s="592"/>
      <c r="I1218" s="631">
        <v>35.159999999999997</v>
      </c>
      <c r="J1218" s="631">
        <f t="shared" si="359"/>
        <v>35.159999999999997</v>
      </c>
      <c r="K1218" s="593">
        <f t="shared" si="361"/>
        <v>44.57</v>
      </c>
      <c r="L1218" s="382" t="s">
        <v>21</v>
      </c>
      <c r="M1218" s="30"/>
      <c r="N1218" s="30">
        <v>44.57</v>
      </c>
      <c r="O1218" s="287">
        <f t="shared" si="362"/>
        <v>0</v>
      </c>
      <c r="P1218" s="287">
        <f t="shared" si="363"/>
        <v>0</v>
      </c>
      <c r="Q1218" s="288"/>
      <c r="R1218" s="243"/>
      <c r="S1218" s="378" t="str">
        <f t="shared" si="360"/>
        <v/>
      </c>
      <c r="U1218" s="722"/>
    </row>
    <row r="1219" spans="2:21" ht="25.5" hidden="1" x14ac:dyDescent="0.2">
      <c r="B1219" s="595">
        <v>95796</v>
      </c>
      <c r="C1219" s="596" t="s">
        <v>817</v>
      </c>
      <c r="D1219" s="597" t="s">
        <v>1312</v>
      </c>
      <c r="E1219" s="589"/>
      <c r="F1219" s="590"/>
      <c r="G1219" s="591"/>
      <c r="H1219" s="592"/>
      <c r="I1219" s="631">
        <v>44.33</v>
      </c>
      <c r="J1219" s="631">
        <f t="shared" si="359"/>
        <v>44.33</v>
      </c>
      <c r="K1219" s="593">
        <f t="shared" si="361"/>
        <v>56.19</v>
      </c>
      <c r="L1219" s="382" t="s">
        <v>21</v>
      </c>
      <c r="M1219" s="30"/>
      <c r="N1219" s="30">
        <v>56.19</v>
      </c>
      <c r="O1219" s="287">
        <f t="shared" si="362"/>
        <v>0</v>
      </c>
      <c r="P1219" s="287">
        <f t="shared" si="363"/>
        <v>0</v>
      </c>
      <c r="Q1219" s="288"/>
      <c r="R1219" s="243"/>
      <c r="S1219" s="378" t="str">
        <f t="shared" si="360"/>
        <v/>
      </c>
      <c r="U1219" s="722"/>
    </row>
    <row r="1220" spans="2:21" ht="25.5" hidden="1" x14ac:dyDescent="0.2">
      <c r="B1220" s="595">
        <v>95797</v>
      </c>
      <c r="C1220" s="596" t="s">
        <v>817</v>
      </c>
      <c r="D1220" s="597" t="s">
        <v>1313</v>
      </c>
      <c r="E1220" s="589"/>
      <c r="F1220" s="590"/>
      <c r="G1220" s="591"/>
      <c r="H1220" s="592"/>
      <c r="I1220" s="631">
        <v>56.27</v>
      </c>
      <c r="J1220" s="631">
        <f t="shared" si="359"/>
        <v>56.27</v>
      </c>
      <c r="K1220" s="593">
        <f t="shared" si="361"/>
        <v>71.319999999999993</v>
      </c>
      <c r="L1220" s="382" t="s">
        <v>21</v>
      </c>
      <c r="M1220" s="30"/>
      <c r="N1220" s="30">
        <v>71.319999999999993</v>
      </c>
      <c r="O1220" s="287">
        <f t="shared" si="362"/>
        <v>0</v>
      </c>
      <c r="P1220" s="287">
        <f t="shared" si="363"/>
        <v>0</v>
      </c>
      <c r="Q1220" s="288"/>
      <c r="R1220" s="243"/>
      <c r="S1220" s="378" t="str">
        <f t="shared" si="360"/>
        <v/>
      </c>
      <c r="U1220" s="722"/>
    </row>
    <row r="1221" spans="2:21" ht="25.5" hidden="1" x14ac:dyDescent="0.2">
      <c r="B1221" s="595">
        <v>95801</v>
      </c>
      <c r="C1221" s="596" t="s">
        <v>817</v>
      </c>
      <c r="D1221" s="597" t="s">
        <v>1314</v>
      </c>
      <c r="E1221" s="589"/>
      <c r="F1221" s="590"/>
      <c r="G1221" s="591"/>
      <c r="H1221" s="592"/>
      <c r="I1221" s="631">
        <v>42.18</v>
      </c>
      <c r="J1221" s="631">
        <f t="shared" si="359"/>
        <v>42.18</v>
      </c>
      <c r="K1221" s="593">
        <f t="shared" si="361"/>
        <v>53.46</v>
      </c>
      <c r="L1221" s="382" t="s">
        <v>21</v>
      </c>
      <c r="M1221" s="30"/>
      <c r="N1221" s="30">
        <v>53.46</v>
      </c>
      <c r="O1221" s="287">
        <f t="shared" si="362"/>
        <v>0</v>
      </c>
      <c r="P1221" s="287">
        <f t="shared" si="363"/>
        <v>0</v>
      </c>
      <c r="Q1221" s="288"/>
      <c r="R1221" s="243"/>
      <c r="S1221" s="378" t="str">
        <f t="shared" si="360"/>
        <v/>
      </c>
      <c r="U1221" s="722"/>
    </row>
    <row r="1222" spans="2:21" ht="25.5" hidden="1" x14ac:dyDescent="0.2">
      <c r="B1222" s="595">
        <v>95802</v>
      </c>
      <c r="C1222" s="596" t="s">
        <v>817</v>
      </c>
      <c r="D1222" s="597" t="s">
        <v>1315</v>
      </c>
      <c r="E1222" s="589"/>
      <c r="F1222" s="590"/>
      <c r="G1222" s="591"/>
      <c r="H1222" s="592"/>
      <c r="I1222" s="631">
        <v>47.05</v>
      </c>
      <c r="J1222" s="631">
        <f t="shared" si="359"/>
        <v>47.05</v>
      </c>
      <c r="K1222" s="593">
        <f t="shared" si="361"/>
        <v>59.64</v>
      </c>
      <c r="L1222" s="382" t="s">
        <v>21</v>
      </c>
      <c r="M1222" s="30"/>
      <c r="N1222" s="30">
        <v>59.64</v>
      </c>
      <c r="O1222" s="287">
        <f t="shared" si="362"/>
        <v>0</v>
      </c>
      <c r="P1222" s="287">
        <f t="shared" si="363"/>
        <v>0</v>
      </c>
      <c r="Q1222" s="288"/>
      <c r="R1222" s="243"/>
      <c r="S1222" s="378" t="str">
        <f t="shared" si="360"/>
        <v/>
      </c>
      <c r="U1222" s="722"/>
    </row>
    <row r="1223" spans="2:21" ht="25.5" hidden="1" x14ac:dyDescent="0.2">
      <c r="B1223" s="595">
        <v>95803</v>
      </c>
      <c r="C1223" s="596" t="s">
        <v>817</v>
      </c>
      <c r="D1223" s="597" t="s">
        <v>1316</v>
      </c>
      <c r="E1223" s="589"/>
      <c r="F1223" s="590"/>
      <c r="G1223" s="591"/>
      <c r="H1223" s="592"/>
      <c r="I1223" s="631">
        <v>62.29</v>
      </c>
      <c r="J1223" s="631">
        <f t="shared" si="359"/>
        <v>62.29</v>
      </c>
      <c r="K1223" s="593">
        <f t="shared" si="361"/>
        <v>78.95</v>
      </c>
      <c r="L1223" s="382" t="s">
        <v>21</v>
      </c>
      <c r="M1223" s="30"/>
      <c r="N1223" s="30">
        <v>78.95</v>
      </c>
      <c r="O1223" s="287">
        <f t="shared" si="362"/>
        <v>0</v>
      </c>
      <c r="P1223" s="287">
        <f t="shared" si="363"/>
        <v>0</v>
      </c>
      <c r="Q1223" s="288"/>
      <c r="R1223" s="243"/>
      <c r="S1223" s="378" t="str">
        <f t="shared" si="360"/>
        <v/>
      </c>
      <c r="U1223" s="722"/>
    </row>
    <row r="1224" spans="2:21" ht="25.5" hidden="1" x14ac:dyDescent="0.2">
      <c r="B1224" s="595">
        <v>95804</v>
      </c>
      <c r="C1224" s="596" t="s">
        <v>817</v>
      </c>
      <c r="D1224" s="597" t="s">
        <v>1317</v>
      </c>
      <c r="E1224" s="589"/>
      <c r="F1224" s="590"/>
      <c r="G1224" s="591"/>
      <c r="H1224" s="592"/>
      <c r="I1224" s="631">
        <v>29.73</v>
      </c>
      <c r="J1224" s="631">
        <f t="shared" si="359"/>
        <v>29.73</v>
      </c>
      <c r="K1224" s="593">
        <f t="shared" si="361"/>
        <v>37.68</v>
      </c>
      <c r="L1224" s="382" t="s">
        <v>21</v>
      </c>
      <c r="M1224" s="30"/>
      <c r="N1224" s="30">
        <v>37.68</v>
      </c>
      <c r="O1224" s="287">
        <f t="shared" si="362"/>
        <v>0</v>
      </c>
      <c r="P1224" s="287">
        <f t="shared" si="363"/>
        <v>0</v>
      </c>
      <c r="Q1224" s="288"/>
      <c r="R1224" s="243"/>
      <c r="S1224" s="378" t="str">
        <f t="shared" si="360"/>
        <v/>
      </c>
      <c r="U1224" s="722"/>
    </row>
    <row r="1225" spans="2:21" ht="25.5" hidden="1" x14ac:dyDescent="0.2">
      <c r="B1225" s="595">
        <v>95805</v>
      </c>
      <c r="C1225" s="596" t="s">
        <v>817</v>
      </c>
      <c r="D1225" s="597" t="s">
        <v>1318</v>
      </c>
      <c r="E1225" s="589"/>
      <c r="F1225" s="590"/>
      <c r="G1225" s="591"/>
      <c r="H1225" s="592"/>
      <c r="I1225" s="631">
        <v>29.96</v>
      </c>
      <c r="J1225" s="631">
        <f t="shared" si="359"/>
        <v>29.96</v>
      </c>
      <c r="K1225" s="593">
        <f t="shared" si="361"/>
        <v>37.97</v>
      </c>
      <c r="L1225" s="382" t="s">
        <v>21</v>
      </c>
      <c r="M1225" s="30"/>
      <c r="N1225" s="30">
        <v>37.97</v>
      </c>
      <c r="O1225" s="287">
        <f t="shared" si="362"/>
        <v>0</v>
      </c>
      <c r="P1225" s="287">
        <f t="shared" si="363"/>
        <v>0</v>
      </c>
      <c r="Q1225" s="288"/>
      <c r="R1225" s="243"/>
      <c r="S1225" s="378" t="str">
        <f t="shared" si="360"/>
        <v/>
      </c>
      <c r="U1225" s="722"/>
    </row>
    <row r="1226" spans="2:21" ht="25.5" hidden="1" x14ac:dyDescent="0.2">
      <c r="B1226" s="595">
        <v>95806</v>
      </c>
      <c r="C1226" s="596" t="s">
        <v>817</v>
      </c>
      <c r="D1226" s="597" t="s">
        <v>1319</v>
      </c>
      <c r="E1226" s="589"/>
      <c r="F1226" s="590"/>
      <c r="G1226" s="591"/>
      <c r="H1226" s="592"/>
      <c r="I1226" s="631">
        <v>30.98</v>
      </c>
      <c r="J1226" s="631">
        <f t="shared" si="359"/>
        <v>30.98</v>
      </c>
      <c r="K1226" s="593">
        <f t="shared" si="361"/>
        <v>39.270000000000003</v>
      </c>
      <c r="L1226" s="382" t="s">
        <v>21</v>
      </c>
      <c r="M1226" s="30"/>
      <c r="N1226" s="30">
        <v>39.270000000000003</v>
      </c>
      <c r="O1226" s="287">
        <f t="shared" si="362"/>
        <v>0</v>
      </c>
      <c r="P1226" s="287">
        <f t="shared" si="363"/>
        <v>0</v>
      </c>
      <c r="Q1226" s="288"/>
      <c r="R1226" s="243"/>
      <c r="S1226" s="378" t="str">
        <f t="shared" si="360"/>
        <v/>
      </c>
      <c r="U1226" s="722"/>
    </row>
    <row r="1227" spans="2:21" ht="25.5" hidden="1" x14ac:dyDescent="0.2">
      <c r="B1227" s="595">
        <v>95807</v>
      </c>
      <c r="C1227" s="596" t="s">
        <v>817</v>
      </c>
      <c r="D1227" s="597" t="s">
        <v>1320</v>
      </c>
      <c r="E1227" s="589"/>
      <c r="F1227" s="590"/>
      <c r="G1227" s="591"/>
      <c r="H1227" s="592"/>
      <c r="I1227" s="631">
        <v>33.96</v>
      </c>
      <c r="J1227" s="631">
        <f t="shared" si="359"/>
        <v>33.96</v>
      </c>
      <c r="K1227" s="593">
        <f t="shared" si="361"/>
        <v>43.04</v>
      </c>
      <c r="L1227" s="382" t="s">
        <v>21</v>
      </c>
      <c r="M1227" s="30"/>
      <c r="N1227" s="30">
        <v>43.04</v>
      </c>
      <c r="O1227" s="287">
        <f t="shared" si="362"/>
        <v>0</v>
      </c>
      <c r="P1227" s="287">
        <f t="shared" si="363"/>
        <v>0</v>
      </c>
      <c r="Q1227" s="288"/>
      <c r="R1227" s="243"/>
      <c r="S1227" s="378" t="str">
        <f t="shared" si="360"/>
        <v/>
      </c>
      <c r="U1227" s="722"/>
    </row>
    <row r="1228" spans="2:21" ht="25.5" hidden="1" x14ac:dyDescent="0.2">
      <c r="B1228" s="595">
        <v>95808</v>
      </c>
      <c r="C1228" s="596" t="s">
        <v>817</v>
      </c>
      <c r="D1228" s="597" t="s">
        <v>1321</v>
      </c>
      <c r="E1228" s="589"/>
      <c r="F1228" s="590"/>
      <c r="G1228" s="591"/>
      <c r="H1228" s="592"/>
      <c r="I1228" s="631">
        <v>34.68</v>
      </c>
      <c r="J1228" s="631">
        <f t="shared" si="359"/>
        <v>34.68</v>
      </c>
      <c r="K1228" s="593">
        <f t="shared" si="361"/>
        <v>43.96</v>
      </c>
      <c r="L1228" s="382" t="s">
        <v>21</v>
      </c>
      <c r="M1228" s="30"/>
      <c r="N1228" s="30">
        <v>43.96</v>
      </c>
      <c r="O1228" s="287">
        <f t="shared" si="362"/>
        <v>0</v>
      </c>
      <c r="P1228" s="287">
        <f t="shared" si="363"/>
        <v>0</v>
      </c>
      <c r="Q1228" s="288"/>
      <c r="R1228" s="243"/>
      <c r="S1228" s="378" t="str">
        <f t="shared" si="360"/>
        <v/>
      </c>
      <c r="U1228" s="722"/>
    </row>
    <row r="1229" spans="2:21" ht="25.5" hidden="1" x14ac:dyDescent="0.2">
      <c r="B1229" s="595">
        <v>95809</v>
      </c>
      <c r="C1229" s="596" t="s">
        <v>817</v>
      </c>
      <c r="D1229" s="597" t="s">
        <v>1322</v>
      </c>
      <c r="E1229" s="589"/>
      <c r="F1229" s="590"/>
      <c r="G1229" s="591"/>
      <c r="H1229" s="592"/>
      <c r="I1229" s="631">
        <v>38.36</v>
      </c>
      <c r="J1229" s="631">
        <f t="shared" si="359"/>
        <v>38.36</v>
      </c>
      <c r="K1229" s="593">
        <f t="shared" si="361"/>
        <v>48.62</v>
      </c>
      <c r="L1229" s="382" t="s">
        <v>21</v>
      </c>
      <c r="M1229" s="30"/>
      <c r="N1229" s="30">
        <v>48.62</v>
      </c>
      <c r="O1229" s="287">
        <f t="shared" si="362"/>
        <v>0</v>
      </c>
      <c r="P1229" s="287">
        <f t="shared" si="363"/>
        <v>0</v>
      </c>
      <c r="Q1229" s="288"/>
      <c r="R1229" s="243"/>
      <c r="S1229" s="378" t="str">
        <f t="shared" si="360"/>
        <v/>
      </c>
      <c r="U1229" s="722"/>
    </row>
    <row r="1230" spans="2:21" ht="25.5" hidden="1" x14ac:dyDescent="0.2">
      <c r="B1230" s="595">
        <v>95810</v>
      </c>
      <c r="C1230" s="596" t="s">
        <v>817</v>
      </c>
      <c r="D1230" s="597" t="s">
        <v>1323</v>
      </c>
      <c r="E1230" s="589"/>
      <c r="F1230" s="590"/>
      <c r="G1230" s="591"/>
      <c r="H1230" s="592"/>
      <c r="I1230" s="631">
        <v>20.34</v>
      </c>
      <c r="J1230" s="631">
        <f t="shared" si="359"/>
        <v>20.34</v>
      </c>
      <c r="K1230" s="593">
        <f t="shared" si="361"/>
        <v>25.78</v>
      </c>
      <c r="L1230" s="382" t="s">
        <v>21</v>
      </c>
      <c r="M1230" s="30"/>
      <c r="N1230" s="30">
        <v>25.78</v>
      </c>
      <c r="O1230" s="287">
        <f t="shared" si="362"/>
        <v>0</v>
      </c>
      <c r="P1230" s="287">
        <f t="shared" si="363"/>
        <v>0</v>
      </c>
      <c r="Q1230" s="288"/>
      <c r="R1230" s="243"/>
      <c r="S1230" s="378" t="str">
        <f t="shared" si="360"/>
        <v/>
      </c>
      <c r="U1230" s="722"/>
    </row>
    <row r="1231" spans="2:21" ht="25.5" hidden="1" x14ac:dyDescent="0.2">
      <c r="B1231" s="595">
        <v>95811</v>
      </c>
      <c r="C1231" s="596" t="s">
        <v>817</v>
      </c>
      <c r="D1231" s="597" t="s">
        <v>1324</v>
      </c>
      <c r="E1231" s="589"/>
      <c r="F1231" s="590"/>
      <c r="G1231" s="591"/>
      <c r="H1231" s="592"/>
      <c r="I1231" s="631">
        <v>21.06</v>
      </c>
      <c r="J1231" s="631">
        <f t="shared" si="359"/>
        <v>21.06</v>
      </c>
      <c r="K1231" s="593">
        <f t="shared" si="361"/>
        <v>26.69</v>
      </c>
      <c r="L1231" s="382" t="s">
        <v>21</v>
      </c>
      <c r="M1231" s="30"/>
      <c r="N1231" s="30">
        <v>26.69</v>
      </c>
      <c r="O1231" s="287">
        <f t="shared" si="362"/>
        <v>0</v>
      </c>
      <c r="P1231" s="287">
        <f t="shared" si="363"/>
        <v>0</v>
      </c>
      <c r="Q1231" s="288"/>
      <c r="R1231" s="243"/>
      <c r="S1231" s="378" t="str">
        <f t="shared" si="360"/>
        <v/>
      </c>
      <c r="U1231" s="722"/>
    </row>
    <row r="1232" spans="2:21" ht="25.5" hidden="1" x14ac:dyDescent="0.2">
      <c r="B1232" s="595">
        <v>95812</v>
      </c>
      <c r="C1232" s="596" t="s">
        <v>817</v>
      </c>
      <c r="D1232" s="597" t="s">
        <v>1325</v>
      </c>
      <c r="E1232" s="589"/>
      <c r="F1232" s="590"/>
      <c r="G1232" s="591"/>
      <c r="H1232" s="592"/>
      <c r="I1232" s="631">
        <v>24.72</v>
      </c>
      <c r="J1232" s="631">
        <f t="shared" si="359"/>
        <v>24.72</v>
      </c>
      <c r="K1232" s="593">
        <f t="shared" si="361"/>
        <v>31.33</v>
      </c>
      <c r="L1232" s="382" t="s">
        <v>21</v>
      </c>
      <c r="M1232" s="30"/>
      <c r="N1232" s="30">
        <v>31.33</v>
      </c>
      <c r="O1232" s="287">
        <f t="shared" si="362"/>
        <v>0</v>
      </c>
      <c r="P1232" s="287">
        <f t="shared" si="363"/>
        <v>0</v>
      </c>
      <c r="Q1232" s="288"/>
      <c r="R1232" s="243"/>
      <c r="S1232" s="378" t="str">
        <f t="shared" si="360"/>
        <v/>
      </c>
      <c r="U1232" s="722"/>
    </row>
    <row r="1233" spans="2:21" ht="25.5" hidden="1" x14ac:dyDescent="0.2">
      <c r="B1233" s="595">
        <v>95813</v>
      </c>
      <c r="C1233" s="596" t="s">
        <v>817</v>
      </c>
      <c r="D1233" s="597" t="s">
        <v>1326</v>
      </c>
      <c r="E1233" s="589"/>
      <c r="F1233" s="590"/>
      <c r="G1233" s="591"/>
      <c r="H1233" s="592"/>
      <c r="I1233" s="631">
        <v>24.08</v>
      </c>
      <c r="J1233" s="631">
        <f t="shared" si="359"/>
        <v>24.08</v>
      </c>
      <c r="K1233" s="593">
        <f t="shared" si="361"/>
        <v>30.52</v>
      </c>
      <c r="L1233" s="382" t="s">
        <v>21</v>
      </c>
      <c r="M1233" s="30"/>
      <c r="N1233" s="30">
        <v>30.52</v>
      </c>
      <c r="O1233" s="287">
        <f t="shared" si="362"/>
        <v>0</v>
      </c>
      <c r="P1233" s="287">
        <f t="shared" si="363"/>
        <v>0</v>
      </c>
      <c r="Q1233" s="288"/>
      <c r="R1233" s="243"/>
      <c r="S1233" s="378" t="str">
        <f t="shared" si="360"/>
        <v/>
      </c>
      <c r="U1233" s="722"/>
    </row>
    <row r="1234" spans="2:21" ht="25.5" hidden="1" x14ac:dyDescent="0.2">
      <c r="B1234" s="595">
        <v>95814</v>
      </c>
      <c r="C1234" s="596" t="s">
        <v>817</v>
      </c>
      <c r="D1234" s="597" t="s">
        <v>1327</v>
      </c>
      <c r="E1234" s="589"/>
      <c r="F1234" s="590"/>
      <c r="G1234" s="591"/>
      <c r="H1234" s="592"/>
      <c r="I1234" s="631">
        <v>25.16</v>
      </c>
      <c r="J1234" s="631">
        <f t="shared" si="359"/>
        <v>25.16</v>
      </c>
      <c r="K1234" s="593">
        <f t="shared" si="361"/>
        <v>31.89</v>
      </c>
      <c r="L1234" s="382" t="s">
        <v>21</v>
      </c>
      <c r="M1234" s="30"/>
      <c r="N1234" s="30">
        <v>31.89</v>
      </c>
      <c r="O1234" s="287">
        <f t="shared" si="362"/>
        <v>0</v>
      </c>
      <c r="P1234" s="287">
        <f t="shared" si="363"/>
        <v>0</v>
      </c>
      <c r="Q1234" s="288"/>
      <c r="R1234" s="243"/>
      <c r="S1234" s="378" t="str">
        <f t="shared" si="360"/>
        <v/>
      </c>
      <c r="U1234" s="722"/>
    </row>
    <row r="1235" spans="2:21" ht="25.5" hidden="1" x14ac:dyDescent="0.2">
      <c r="B1235" s="595">
        <v>95815</v>
      </c>
      <c r="C1235" s="596" t="s">
        <v>817</v>
      </c>
      <c r="D1235" s="597" t="s">
        <v>1328</v>
      </c>
      <c r="E1235" s="589"/>
      <c r="F1235" s="590"/>
      <c r="G1235" s="591"/>
      <c r="H1235" s="592"/>
      <c r="I1235" s="631">
        <v>32.36</v>
      </c>
      <c r="J1235" s="631">
        <f t="shared" si="359"/>
        <v>32.36</v>
      </c>
      <c r="K1235" s="593">
        <f t="shared" si="361"/>
        <v>41.02</v>
      </c>
      <c r="L1235" s="382" t="s">
        <v>21</v>
      </c>
      <c r="M1235" s="30"/>
      <c r="N1235" s="30">
        <v>41.02</v>
      </c>
      <c r="O1235" s="287">
        <f t="shared" si="362"/>
        <v>0</v>
      </c>
      <c r="P1235" s="287">
        <f t="shared" si="363"/>
        <v>0</v>
      </c>
      <c r="Q1235" s="288"/>
      <c r="R1235" s="243"/>
      <c r="S1235" s="378" t="str">
        <f t="shared" si="360"/>
        <v/>
      </c>
      <c r="U1235" s="722"/>
    </row>
    <row r="1236" spans="2:21" ht="25.5" hidden="1" x14ac:dyDescent="0.2">
      <c r="B1236" s="595">
        <v>95816</v>
      </c>
      <c r="C1236" s="596" t="s">
        <v>817</v>
      </c>
      <c r="D1236" s="597" t="s">
        <v>1329</v>
      </c>
      <c r="E1236" s="589"/>
      <c r="F1236" s="590"/>
      <c r="G1236" s="591"/>
      <c r="H1236" s="592"/>
      <c r="I1236" s="631">
        <v>41.8</v>
      </c>
      <c r="J1236" s="631">
        <f t="shared" si="359"/>
        <v>41.8</v>
      </c>
      <c r="K1236" s="593">
        <f t="shared" si="361"/>
        <v>52.98</v>
      </c>
      <c r="L1236" s="382" t="s">
        <v>21</v>
      </c>
      <c r="M1236" s="30"/>
      <c r="N1236" s="30">
        <v>52.98</v>
      </c>
      <c r="O1236" s="287">
        <f t="shared" si="362"/>
        <v>0</v>
      </c>
      <c r="P1236" s="287">
        <f t="shared" si="363"/>
        <v>0</v>
      </c>
      <c r="Q1236" s="288"/>
      <c r="R1236" s="243"/>
      <c r="S1236" s="378" t="str">
        <f t="shared" si="360"/>
        <v/>
      </c>
      <c r="U1236" s="722"/>
    </row>
    <row r="1237" spans="2:21" ht="25.5" hidden="1" x14ac:dyDescent="0.2">
      <c r="B1237" s="595">
        <v>95817</v>
      </c>
      <c r="C1237" s="596" t="s">
        <v>817</v>
      </c>
      <c r="D1237" s="597" t="s">
        <v>1330</v>
      </c>
      <c r="E1237" s="589"/>
      <c r="F1237" s="590"/>
      <c r="G1237" s="591"/>
      <c r="H1237" s="592"/>
      <c r="I1237" s="631">
        <v>42.57</v>
      </c>
      <c r="J1237" s="631">
        <f t="shared" ref="J1237:J1300" si="364">IF(ISBLANK(I1237),"",SUM(H1237:I1237))</f>
        <v>42.57</v>
      </c>
      <c r="K1237" s="593">
        <f t="shared" si="361"/>
        <v>53.96</v>
      </c>
      <c r="L1237" s="382" t="s">
        <v>21</v>
      </c>
      <c r="M1237" s="30"/>
      <c r="N1237" s="30">
        <v>53.96</v>
      </c>
      <c r="O1237" s="287">
        <f t="shared" si="362"/>
        <v>0</v>
      </c>
      <c r="P1237" s="287">
        <f t="shared" si="363"/>
        <v>0</v>
      </c>
      <c r="Q1237" s="288"/>
      <c r="R1237" s="243"/>
      <c r="S1237" s="378" t="str">
        <f t="shared" si="360"/>
        <v/>
      </c>
      <c r="U1237" s="722"/>
    </row>
    <row r="1238" spans="2:21" ht="25.5" hidden="1" x14ac:dyDescent="0.2">
      <c r="B1238" s="595">
        <v>95818</v>
      </c>
      <c r="C1238" s="596" t="s">
        <v>817</v>
      </c>
      <c r="D1238" s="597" t="s">
        <v>1331</v>
      </c>
      <c r="E1238" s="589"/>
      <c r="F1238" s="590"/>
      <c r="G1238" s="591"/>
      <c r="H1238" s="592"/>
      <c r="I1238" s="631">
        <v>52.29</v>
      </c>
      <c r="J1238" s="631">
        <f t="shared" si="364"/>
        <v>52.29</v>
      </c>
      <c r="K1238" s="593">
        <f t="shared" si="361"/>
        <v>66.28</v>
      </c>
      <c r="L1238" s="382" t="s">
        <v>21</v>
      </c>
      <c r="M1238" s="30"/>
      <c r="N1238" s="30">
        <v>66.28</v>
      </c>
      <c r="O1238" s="287">
        <f t="shared" si="362"/>
        <v>0</v>
      </c>
      <c r="P1238" s="287">
        <f t="shared" si="363"/>
        <v>0</v>
      </c>
      <c r="Q1238" s="288"/>
      <c r="R1238" s="243"/>
      <c r="S1238" s="378" t="str">
        <f t="shared" si="360"/>
        <v/>
      </c>
      <c r="U1238" s="722"/>
    </row>
    <row r="1239" spans="2:21" hidden="1" x14ac:dyDescent="0.2">
      <c r="B1239" s="595">
        <v>91936</v>
      </c>
      <c r="C1239" s="596" t="s">
        <v>817</v>
      </c>
      <c r="D1239" s="597" t="s">
        <v>1332</v>
      </c>
      <c r="E1239" s="589"/>
      <c r="F1239" s="590"/>
      <c r="G1239" s="591"/>
      <c r="H1239" s="592"/>
      <c r="I1239" s="631">
        <v>16.32</v>
      </c>
      <c r="J1239" s="631">
        <f t="shared" si="364"/>
        <v>16.32</v>
      </c>
      <c r="K1239" s="593">
        <f t="shared" si="361"/>
        <v>20.69</v>
      </c>
      <c r="L1239" s="382" t="s">
        <v>21</v>
      </c>
      <c r="M1239" s="30"/>
      <c r="N1239" s="30">
        <v>20.69</v>
      </c>
      <c r="O1239" s="287">
        <f t="shared" si="362"/>
        <v>0</v>
      </c>
      <c r="P1239" s="287">
        <f t="shared" si="363"/>
        <v>0</v>
      </c>
      <c r="Q1239" s="288"/>
      <c r="R1239" s="243"/>
      <c r="S1239" s="378" t="str">
        <f t="shared" si="360"/>
        <v/>
      </c>
      <c r="U1239" s="722"/>
    </row>
    <row r="1240" spans="2:21" hidden="1" x14ac:dyDescent="0.2">
      <c r="B1240" s="595">
        <v>91937</v>
      </c>
      <c r="C1240" s="596" t="s">
        <v>817</v>
      </c>
      <c r="D1240" s="597" t="s">
        <v>1333</v>
      </c>
      <c r="E1240" s="589"/>
      <c r="F1240" s="590"/>
      <c r="G1240" s="591"/>
      <c r="H1240" s="592"/>
      <c r="I1240" s="631">
        <v>13.53</v>
      </c>
      <c r="J1240" s="631">
        <f t="shared" si="364"/>
        <v>13.53</v>
      </c>
      <c r="K1240" s="593">
        <f t="shared" si="361"/>
        <v>17.149999999999999</v>
      </c>
      <c r="L1240" s="382" t="s">
        <v>21</v>
      </c>
      <c r="M1240" s="30"/>
      <c r="N1240" s="30">
        <v>17.149999999999999</v>
      </c>
      <c r="O1240" s="287">
        <f t="shared" si="362"/>
        <v>0</v>
      </c>
      <c r="P1240" s="287">
        <f t="shared" si="363"/>
        <v>0</v>
      </c>
      <c r="Q1240" s="288"/>
      <c r="R1240" s="243"/>
      <c r="S1240" s="378" t="str">
        <f t="shared" si="360"/>
        <v/>
      </c>
      <c r="U1240" s="722"/>
    </row>
    <row r="1241" spans="2:21" ht="25.5" hidden="1" x14ac:dyDescent="0.2">
      <c r="B1241" s="595">
        <v>91939</v>
      </c>
      <c r="C1241" s="596" t="s">
        <v>817</v>
      </c>
      <c r="D1241" s="597" t="s">
        <v>1334</v>
      </c>
      <c r="E1241" s="589"/>
      <c r="F1241" s="590"/>
      <c r="G1241" s="591"/>
      <c r="H1241" s="592"/>
      <c r="I1241" s="631">
        <v>30.39</v>
      </c>
      <c r="J1241" s="631">
        <f t="shared" si="364"/>
        <v>30.39</v>
      </c>
      <c r="K1241" s="593">
        <f t="shared" si="361"/>
        <v>38.520000000000003</v>
      </c>
      <c r="L1241" s="382" t="s">
        <v>21</v>
      </c>
      <c r="M1241" s="30"/>
      <c r="N1241" s="30">
        <v>38.520000000000003</v>
      </c>
      <c r="O1241" s="287">
        <f t="shared" si="362"/>
        <v>0</v>
      </c>
      <c r="P1241" s="287">
        <f t="shared" si="363"/>
        <v>0</v>
      </c>
      <c r="Q1241" s="288"/>
      <c r="R1241" s="243"/>
      <c r="S1241" s="378" t="str">
        <f t="shared" si="360"/>
        <v/>
      </c>
      <c r="U1241" s="722"/>
    </row>
    <row r="1242" spans="2:21" ht="25.5" hidden="1" x14ac:dyDescent="0.2">
      <c r="B1242" s="595">
        <v>91940</v>
      </c>
      <c r="C1242" s="596" t="s">
        <v>817</v>
      </c>
      <c r="D1242" s="597" t="s">
        <v>1335</v>
      </c>
      <c r="E1242" s="589"/>
      <c r="F1242" s="590"/>
      <c r="G1242" s="591"/>
      <c r="H1242" s="592"/>
      <c r="I1242" s="631">
        <v>16.559999999999999</v>
      </c>
      <c r="J1242" s="631">
        <f t="shared" si="364"/>
        <v>16.559999999999999</v>
      </c>
      <c r="K1242" s="593">
        <f t="shared" si="361"/>
        <v>20.99</v>
      </c>
      <c r="L1242" s="382" t="s">
        <v>21</v>
      </c>
      <c r="M1242" s="30"/>
      <c r="N1242" s="30">
        <v>20.99</v>
      </c>
      <c r="O1242" s="287">
        <f t="shared" si="362"/>
        <v>0</v>
      </c>
      <c r="P1242" s="287">
        <f t="shared" si="363"/>
        <v>0</v>
      </c>
      <c r="Q1242" s="288"/>
      <c r="R1242" s="243"/>
      <c r="S1242" s="378" t="str">
        <f t="shared" si="360"/>
        <v/>
      </c>
      <c r="U1242" s="722"/>
    </row>
    <row r="1243" spans="2:21" ht="25.5" hidden="1" x14ac:dyDescent="0.2">
      <c r="B1243" s="595">
        <v>91941</v>
      </c>
      <c r="C1243" s="596" t="s">
        <v>817</v>
      </c>
      <c r="D1243" s="597" t="s">
        <v>1336</v>
      </c>
      <c r="E1243" s="589"/>
      <c r="F1243" s="590"/>
      <c r="G1243" s="591"/>
      <c r="H1243" s="592"/>
      <c r="I1243" s="631">
        <v>11.38</v>
      </c>
      <c r="J1243" s="631">
        <f t="shared" si="364"/>
        <v>11.38</v>
      </c>
      <c r="K1243" s="593">
        <f t="shared" si="361"/>
        <v>14.42</v>
      </c>
      <c r="L1243" s="382" t="s">
        <v>21</v>
      </c>
      <c r="M1243" s="30"/>
      <c r="N1243" s="30">
        <v>14.42</v>
      </c>
      <c r="O1243" s="287">
        <f t="shared" si="362"/>
        <v>0</v>
      </c>
      <c r="P1243" s="287">
        <f t="shared" si="363"/>
        <v>0</v>
      </c>
      <c r="Q1243" s="288"/>
      <c r="R1243" s="243"/>
      <c r="S1243" s="378" t="str">
        <f t="shared" si="360"/>
        <v/>
      </c>
      <c r="U1243" s="722"/>
    </row>
    <row r="1244" spans="2:21" ht="25.5" hidden="1" x14ac:dyDescent="0.2">
      <c r="B1244" s="595">
        <v>91942</v>
      </c>
      <c r="C1244" s="596" t="s">
        <v>817</v>
      </c>
      <c r="D1244" s="597" t="s">
        <v>1337</v>
      </c>
      <c r="E1244" s="589"/>
      <c r="F1244" s="590"/>
      <c r="G1244" s="591"/>
      <c r="H1244" s="592"/>
      <c r="I1244" s="631">
        <v>37.93</v>
      </c>
      <c r="J1244" s="631">
        <f t="shared" si="364"/>
        <v>37.93</v>
      </c>
      <c r="K1244" s="593">
        <f t="shared" si="361"/>
        <v>48.08</v>
      </c>
      <c r="L1244" s="382" t="s">
        <v>21</v>
      </c>
      <c r="M1244" s="30"/>
      <c r="N1244" s="30">
        <v>48.08</v>
      </c>
      <c r="O1244" s="287">
        <f t="shared" si="362"/>
        <v>0</v>
      </c>
      <c r="P1244" s="287">
        <f t="shared" si="363"/>
        <v>0</v>
      </c>
      <c r="Q1244" s="288"/>
      <c r="R1244" s="243"/>
      <c r="S1244" s="378" t="str">
        <f t="shared" si="360"/>
        <v/>
      </c>
      <c r="U1244" s="722"/>
    </row>
    <row r="1245" spans="2:21" ht="25.5" hidden="1" x14ac:dyDescent="0.2">
      <c r="B1245" s="595">
        <v>91943</v>
      </c>
      <c r="C1245" s="596" t="s">
        <v>817</v>
      </c>
      <c r="D1245" s="597" t="s">
        <v>1338</v>
      </c>
      <c r="E1245" s="589"/>
      <c r="F1245" s="590"/>
      <c r="G1245" s="591"/>
      <c r="H1245" s="592"/>
      <c r="I1245" s="631">
        <v>22.02</v>
      </c>
      <c r="J1245" s="631">
        <f t="shared" si="364"/>
        <v>22.02</v>
      </c>
      <c r="K1245" s="593">
        <f t="shared" si="361"/>
        <v>27.91</v>
      </c>
      <c r="L1245" s="382" t="s">
        <v>21</v>
      </c>
      <c r="M1245" s="30"/>
      <c r="N1245" s="30">
        <v>27.91</v>
      </c>
      <c r="O1245" s="287">
        <f t="shared" si="362"/>
        <v>0</v>
      </c>
      <c r="P1245" s="287">
        <f t="shared" si="363"/>
        <v>0</v>
      </c>
      <c r="Q1245" s="288"/>
      <c r="R1245" s="243"/>
      <c r="S1245" s="378" t="str">
        <f t="shared" si="360"/>
        <v/>
      </c>
      <c r="U1245" s="722"/>
    </row>
    <row r="1246" spans="2:21" ht="25.5" hidden="1" x14ac:dyDescent="0.2">
      <c r="B1246" s="595">
        <v>91944</v>
      </c>
      <c r="C1246" s="596" t="s">
        <v>817</v>
      </c>
      <c r="D1246" s="597" t="s">
        <v>1339</v>
      </c>
      <c r="E1246" s="589"/>
      <c r="F1246" s="590"/>
      <c r="G1246" s="591"/>
      <c r="H1246" s="592"/>
      <c r="I1246" s="631">
        <v>16.079999999999998</v>
      </c>
      <c r="J1246" s="631">
        <f t="shared" si="364"/>
        <v>16.079999999999998</v>
      </c>
      <c r="K1246" s="593">
        <f t="shared" si="361"/>
        <v>20.38</v>
      </c>
      <c r="L1246" s="382" t="s">
        <v>21</v>
      </c>
      <c r="M1246" s="30"/>
      <c r="N1246" s="30">
        <v>20.38</v>
      </c>
      <c r="O1246" s="287">
        <f t="shared" si="362"/>
        <v>0</v>
      </c>
      <c r="P1246" s="287">
        <f t="shared" si="363"/>
        <v>0</v>
      </c>
      <c r="Q1246" s="288"/>
      <c r="R1246" s="243"/>
      <c r="S1246" s="378" t="str">
        <f t="shared" si="360"/>
        <v/>
      </c>
      <c r="U1246" s="722"/>
    </row>
    <row r="1247" spans="2:21" hidden="1" x14ac:dyDescent="0.2">
      <c r="B1247" s="595">
        <v>92865</v>
      </c>
      <c r="C1247" s="596" t="s">
        <v>817</v>
      </c>
      <c r="D1247" s="597" t="s">
        <v>1340</v>
      </c>
      <c r="E1247" s="589"/>
      <c r="F1247" s="590"/>
      <c r="G1247" s="591"/>
      <c r="H1247" s="592"/>
      <c r="I1247" s="631">
        <v>11.58</v>
      </c>
      <c r="J1247" s="631">
        <f t="shared" si="364"/>
        <v>11.58</v>
      </c>
      <c r="K1247" s="593">
        <f t="shared" si="361"/>
        <v>14.68</v>
      </c>
      <c r="L1247" s="382" t="s">
        <v>21</v>
      </c>
      <c r="M1247" s="30"/>
      <c r="N1247" s="30">
        <v>14.68</v>
      </c>
      <c r="O1247" s="287">
        <f t="shared" si="362"/>
        <v>0</v>
      </c>
      <c r="P1247" s="287">
        <f t="shared" si="363"/>
        <v>0</v>
      </c>
      <c r="Q1247" s="288"/>
      <c r="R1247" s="243"/>
      <c r="S1247" s="378" t="str">
        <f t="shared" si="360"/>
        <v/>
      </c>
      <c r="U1247" s="722"/>
    </row>
    <row r="1248" spans="2:21" hidden="1" x14ac:dyDescent="0.2">
      <c r="B1248" s="595">
        <v>92866</v>
      </c>
      <c r="C1248" s="596" t="s">
        <v>817</v>
      </c>
      <c r="D1248" s="597" t="s">
        <v>1341</v>
      </c>
      <c r="E1248" s="589"/>
      <c r="F1248" s="590"/>
      <c r="G1248" s="591"/>
      <c r="H1248" s="592"/>
      <c r="I1248" s="631">
        <v>9.24</v>
      </c>
      <c r="J1248" s="631">
        <f t="shared" si="364"/>
        <v>9.24</v>
      </c>
      <c r="K1248" s="593">
        <f t="shared" si="361"/>
        <v>11.71</v>
      </c>
      <c r="L1248" s="382" t="s">
        <v>21</v>
      </c>
      <c r="M1248" s="30"/>
      <c r="N1248" s="30">
        <v>11.71</v>
      </c>
      <c r="O1248" s="287">
        <f t="shared" si="362"/>
        <v>0</v>
      </c>
      <c r="P1248" s="287">
        <f t="shared" si="363"/>
        <v>0</v>
      </c>
      <c r="Q1248" s="288"/>
      <c r="R1248" s="243"/>
      <c r="S1248" s="378" t="str">
        <f t="shared" si="360"/>
        <v/>
      </c>
      <c r="U1248" s="722"/>
    </row>
    <row r="1249" spans="2:21" ht="25.5" hidden="1" x14ac:dyDescent="0.2">
      <c r="B1249" s="595">
        <v>92867</v>
      </c>
      <c r="C1249" s="596" t="s">
        <v>817</v>
      </c>
      <c r="D1249" s="597" t="s">
        <v>1342</v>
      </c>
      <c r="E1249" s="589"/>
      <c r="F1249" s="590"/>
      <c r="G1249" s="591"/>
      <c r="H1249" s="592"/>
      <c r="I1249" s="631">
        <v>28.93</v>
      </c>
      <c r="J1249" s="631">
        <f t="shared" si="364"/>
        <v>28.93</v>
      </c>
      <c r="K1249" s="593">
        <f t="shared" si="361"/>
        <v>36.67</v>
      </c>
      <c r="L1249" s="382" t="s">
        <v>21</v>
      </c>
      <c r="M1249" s="30"/>
      <c r="N1249" s="30">
        <v>36.67</v>
      </c>
      <c r="O1249" s="287">
        <f t="shared" si="362"/>
        <v>0</v>
      </c>
      <c r="P1249" s="287">
        <f t="shared" si="363"/>
        <v>0</v>
      </c>
      <c r="Q1249" s="288"/>
      <c r="R1249" s="243"/>
      <c r="S1249" s="378" t="str">
        <f t="shared" si="360"/>
        <v/>
      </c>
      <c r="U1249" s="722"/>
    </row>
    <row r="1250" spans="2:21" ht="25.5" hidden="1" x14ac:dyDescent="0.2">
      <c r="B1250" s="595">
        <v>92868</v>
      </c>
      <c r="C1250" s="596" t="s">
        <v>817</v>
      </c>
      <c r="D1250" s="597" t="s">
        <v>1343</v>
      </c>
      <c r="E1250" s="589"/>
      <c r="F1250" s="590"/>
      <c r="G1250" s="591"/>
      <c r="H1250" s="592"/>
      <c r="I1250" s="631">
        <v>15.1</v>
      </c>
      <c r="J1250" s="631">
        <f t="shared" si="364"/>
        <v>15.1</v>
      </c>
      <c r="K1250" s="593">
        <f t="shared" si="361"/>
        <v>19.14</v>
      </c>
      <c r="L1250" s="382" t="s">
        <v>21</v>
      </c>
      <c r="M1250" s="30"/>
      <c r="N1250" s="30">
        <v>19.14</v>
      </c>
      <c r="O1250" s="287">
        <f t="shared" si="362"/>
        <v>0</v>
      </c>
      <c r="P1250" s="287">
        <f t="shared" si="363"/>
        <v>0</v>
      </c>
      <c r="Q1250" s="288"/>
      <c r="R1250" s="243"/>
      <c r="S1250" s="378" t="str">
        <f t="shared" si="360"/>
        <v/>
      </c>
      <c r="U1250" s="722"/>
    </row>
    <row r="1251" spans="2:21" ht="25.5" hidden="1" x14ac:dyDescent="0.2">
      <c r="B1251" s="595">
        <v>92869</v>
      </c>
      <c r="C1251" s="596" t="s">
        <v>817</v>
      </c>
      <c r="D1251" s="597" t="s">
        <v>1344</v>
      </c>
      <c r="E1251" s="589"/>
      <c r="F1251" s="590"/>
      <c r="G1251" s="591"/>
      <c r="H1251" s="592"/>
      <c r="I1251" s="631">
        <v>9.92</v>
      </c>
      <c r="J1251" s="631">
        <f t="shared" si="364"/>
        <v>9.92</v>
      </c>
      <c r="K1251" s="593">
        <f t="shared" si="361"/>
        <v>12.57</v>
      </c>
      <c r="L1251" s="382" t="s">
        <v>21</v>
      </c>
      <c r="M1251" s="30"/>
      <c r="N1251" s="30">
        <v>12.57</v>
      </c>
      <c r="O1251" s="287">
        <f t="shared" si="362"/>
        <v>0</v>
      </c>
      <c r="P1251" s="287">
        <f t="shared" si="363"/>
        <v>0</v>
      </c>
      <c r="Q1251" s="288"/>
      <c r="R1251" s="243"/>
      <c r="S1251" s="378" t="str">
        <f t="shared" si="360"/>
        <v/>
      </c>
      <c r="U1251" s="722"/>
    </row>
    <row r="1252" spans="2:21" ht="25.5" hidden="1" x14ac:dyDescent="0.2">
      <c r="B1252" s="595">
        <v>92870</v>
      </c>
      <c r="C1252" s="596" t="s">
        <v>817</v>
      </c>
      <c r="D1252" s="597" t="s">
        <v>1345</v>
      </c>
      <c r="E1252" s="589"/>
      <c r="F1252" s="590"/>
      <c r="G1252" s="591"/>
      <c r="H1252" s="592"/>
      <c r="I1252" s="631">
        <v>35.28</v>
      </c>
      <c r="J1252" s="631">
        <f t="shared" si="364"/>
        <v>35.28</v>
      </c>
      <c r="K1252" s="593">
        <f t="shared" si="361"/>
        <v>44.72</v>
      </c>
      <c r="L1252" s="382" t="s">
        <v>21</v>
      </c>
      <c r="M1252" s="30"/>
      <c r="N1252" s="30">
        <v>44.72</v>
      </c>
      <c r="O1252" s="287">
        <f t="shared" si="362"/>
        <v>0</v>
      </c>
      <c r="P1252" s="287">
        <f t="shared" si="363"/>
        <v>0</v>
      </c>
      <c r="Q1252" s="288"/>
      <c r="R1252" s="243"/>
      <c r="S1252" s="378" t="str">
        <f t="shared" si="360"/>
        <v/>
      </c>
      <c r="U1252" s="722"/>
    </row>
    <row r="1253" spans="2:21" ht="25.5" hidden="1" x14ac:dyDescent="0.2">
      <c r="B1253" s="595">
        <v>92871</v>
      </c>
      <c r="C1253" s="596" t="s">
        <v>817</v>
      </c>
      <c r="D1253" s="597" t="s">
        <v>1346</v>
      </c>
      <c r="E1253" s="589"/>
      <c r="F1253" s="590"/>
      <c r="G1253" s="591"/>
      <c r="H1253" s="592"/>
      <c r="I1253" s="631">
        <v>19.37</v>
      </c>
      <c r="J1253" s="631">
        <f t="shared" si="364"/>
        <v>19.37</v>
      </c>
      <c r="K1253" s="593">
        <f t="shared" si="361"/>
        <v>24.55</v>
      </c>
      <c r="L1253" s="382" t="s">
        <v>21</v>
      </c>
      <c r="M1253" s="30"/>
      <c r="N1253" s="30">
        <v>24.55</v>
      </c>
      <c r="O1253" s="287">
        <f t="shared" si="362"/>
        <v>0</v>
      </c>
      <c r="P1253" s="287">
        <f t="shared" si="363"/>
        <v>0</v>
      </c>
      <c r="Q1253" s="288"/>
      <c r="R1253" s="243"/>
      <c r="S1253" s="378" t="str">
        <f t="shared" si="360"/>
        <v/>
      </c>
      <c r="U1253" s="722"/>
    </row>
    <row r="1254" spans="2:21" ht="25.5" hidden="1" x14ac:dyDescent="0.2">
      <c r="B1254" s="595">
        <v>92872</v>
      </c>
      <c r="C1254" s="596" t="s">
        <v>817</v>
      </c>
      <c r="D1254" s="597" t="s">
        <v>1347</v>
      </c>
      <c r="E1254" s="589"/>
      <c r="F1254" s="590"/>
      <c r="G1254" s="591"/>
      <c r="H1254" s="592"/>
      <c r="I1254" s="631">
        <v>13.43</v>
      </c>
      <c r="J1254" s="631">
        <f t="shared" si="364"/>
        <v>13.43</v>
      </c>
      <c r="K1254" s="593">
        <f t="shared" si="361"/>
        <v>17.02</v>
      </c>
      <c r="L1254" s="382" t="s">
        <v>21</v>
      </c>
      <c r="M1254" s="30"/>
      <c r="N1254" s="30">
        <v>17.02</v>
      </c>
      <c r="O1254" s="287">
        <f t="shared" si="362"/>
        <v>0</v>
      </c>
      <c r="P1254" s="287">
        <f t="shared" si="363"/>
        <v>0</v>
      </c>
      <c r="Q1254" s="288"/>
      <c r="R1254" s="243"/>
      <c r="S1254" s="378" t="str">
        <f t="shared" si="360"/>
        <v/>
      </c>
      <c r="U1254" s="722"/>
    </row>
    <row r="1255" spans="2:21" ht="25.5" hidden="1" x14ac:dyDescent="0.2">
      <c r="B1255" s="595">
        <v>97886</v>
      </c>
      <c r="C1255" s="596" t="s">
        <v>817</v>
      </c>
      <c r="D1255" s="597" t="s">
        <v>1348</v>
      </c>
      <c r="E1255" s="589"/>
      <c r="F1255" s="590"/>
      <c r="G1255" s="591"/>
      <c r="H1255" s="592"/>
      <c r="I1255" s="631">
        <v>183.01</v>
      </c>
      <c r="J1255" s="631">
        <f t="shared" si="364"/>
        <v>183.01</v>
      </c>
      <c r="K1255" s="593">
        <f t="shared" si="361"/>
        <v>231.97</v>
      </c>
      <c r="L1255" s="382" t="s">
        <v>21</v>
      </c>
      <c r="M1255" s="30"/>
      <c r="N1255" s="30">
        <v>231.97</v>
      </c>
      <c r="O1255" s="287">
        <f t="shared" si="362"/>
        <v>0</v>
      </c>
      <c r="P1255" s="287">
        <f t="shared" si="363"/>
        <v>0</v>
      </c>
      <c r="Q1255" s="288"/>
      <c r="R1255" s="243"/>
      <c r="S1255" s="378" t="str">
        <f t="shared" si="360"/>
        <v/>
      </c>
      <c r="U1255" s="722"/>
    </row>
    <row r="1256" spans="2:21" ht="25.5" hidden="1" x14ac:dyDescent="0.2">
      <c r="B1256" s="595">
        <v>97887</v>
      </c>
      <c r="C1256" s="596" t="s">
        <v>817</v>
      </c>
      <c r="D1256" s="597" t="s">
        <v>1349</v>
      </c>
      <c r="E1256" s="589"/>
      <c r="F1256" s="590"/>
      <c r="G1256" s="591"/>
      <c r="H1256" s="592"/>
      <c r="I1256" s="631">
        <v>289.95</v>
      </c>
      <c r="J1256" s="631">
        <f t="shared" si="364"/>
        <v>289.95</v>
      </c>
      <c r="K1256" s="593">
        <f t="shared" si="361"/>
        <v>367.51</v>
      </c>
      <c r="L1256" s="382" t="s">
        <v>21</v>
      </c>
      <c r="M1256" s="30"/>
      <c r="N1256" s="30">
        <v>367.51</v>
      </c>
      <c r="O1256" s="287">
        <f t="shared" si="362"/>
        <v>0</v>
      </c>
      <c r="P1256" s="287">
        <f t="shared" si="363"/>
        <v>0</v>
      </c>
      <c r="Q1256" s="288"/>
      <c r="R1256" s="243"/>
      <c r="S1256" s="378" t="str">
        <f t="shared" si="360"/>
        <v/>
      </c>
      <c r="U1256" s="722"/>
    </row>
    <row r="1257" spans="2:21" ht="25.5" hidden="1" x14ac:dyDescent="0.2">
      <c r="B1257" s="595">
        <v>97888</v>
      </c>
      <c r="C1257" s="596" t="s">
        <v>817</v>
      </c>
      <c r="D1257" s="597" t="s">
        <v>1350</v>
      </c>
      <c r="E1257" s="589"/>
      <c r="F1257" s="590"/>
      <c r="G1257" s="591"/>
      <c r="H1257" s="592"/>
      <c r="I1257" s="631">
        <v>562.15</v>
      </c>
      <c r="J1257" s="631">
        <f t="shared" si="364"/>
        <v>562.15</v>
      </c>
      <c r="K1257" s="593">
        <f t="shared" si="361"/>
        <v>712.53</v>
      </c>
      <c r="L1257" s="382" t="s">
        <v>21</v>
      </c>
      <c r="M1257" s="30"/>
      <c r="N1257" s="30">
        <v>712.53</v>
      </c>
      <c r="O1257" s="287">
        <f t="shared" si="362"/>
        <v>0</v>
      </c>
      <c r="P1257" s="287">
        <f t="shared" si="363"/>
        <v>0</v>
      </c>
      <c r="Q1257" s="288"/>
      <c r="R1257" s="243"/>
      <c r="S1257" s="378" t="str">
        <f t="shared" si="360"/>
        <v/>
      </c>
      <c r="U1257" s="722"/>
    </row>
    <row r="1258" spans="2:21" ht="25.5" hidden="1" x14ac:dyDescent="0.2">
      <c r="B1258" s="595">
        <v>97889</v>
      </c>
      <c r="C1258" s="596" t="s">
        <v>817</v>
      </c>
      <c r="D1258" s="597" t="s">
        <v>1351</v>
      </c>
      <c r="E1258" s="589"/>
      <c r="F1258" s="590"/>
      <c r="G1258" s="591"/>
      <c r="H1258" s="592"/>
      <c r="I1258" s="631">
        <v>750.65</v>
      </c>
      <c r="J1258" s="631">
        <f t="shared" si="364"/>
        <v>750.65</v>
      </c>
      <c r="K1258" s="593">
        <f t="shared" si="361"/>
        <v>951.45</v>
      </c>
      <c r="L1258" s="382" t="s">
        <v>21</v>
      </c>
      <c r="M1258" s="30"/>
      <c r="N1258" s="30">
        <v>951.45</v>
      </c>
      <c r="O1258" s="287">
        <f t="shared" si="362"/>
        <v>0</v>
      </c>
      <c r="P1258" s="287">
        <f t="shared" si="363"/>
        <v>0</v>
      </c>
      <c r="Q1258" s="288"/>
      <c r="R1258" s="243"/>
      <c r="S1258" s="378" t="str">
        <f t="shared" si="360"/>
        <v/>
      </c>
      <c r="U1258" s="722"/>
    </row>
    <row r="1259" spans="2:21" ht="25.5" hidden="1" x14ac:dyDescent="0.2">
      <c r="B1259" s="595">
        <v>97890</v>
      </c>
      <c r="C1259" s="596" t="s">
        <v>817</v>
      </c>
      <c r="D1259" s="597" t="s">
        <v>1352</v>
      </c>
      <c r="E1259" s="589"/>
      <c r="F1259" s="590"/>
      <c r="G1259" s="591"/>
      <c r="H1259" s="592"/>
      <c r="I1259" s="631">
        <v>860.45</v>
      </c>
      <c r="J1259" s="631">
        <f t="shared" si="364"/>
        <v>860.45</v>
      </c>
      <c r="K1259" s="593">
        <f t="shared" si="361"/>
        <v>1090.6199999999999</v>
      </c>
      <c r="L1259" s="382" t="s">
        <v>21</v>
      </c>
      <c r="M1259" s="30"/>
      <c r="N1259" s="30">
        <v>1090.6199999999999</v>
      </c>
      <c r="O1259" s="287">
        <f t="shared" si="362"/>
        <v>0</v>
      </c>
      <c r="P1259" s="287">
        <f t="shared" si="363"/>
        <v>0</v>
      </c>
      <c r="Q1259" s="288"/>
      <c r="R1259" s="243"/>
      <c r="S1259" s="378" t="str">
        <f t="shared" si="360"/>
        <v/>
      </c>
      <c r="U1259" s="722"/>
    </row>
    <row r="1260" spans="2:21" ht="25.5" hidden="1" x14ac:dyDescent="0.2">
      <c r="B1260" s="595">
        <v>97933</v>
      </c>
      <c r="C1260" s="596" t="s">
        <v>817</v>
      </c>
      <c r="D1260" s="597" t="s">
        <v>1353</v>
      </c>
      <c r="E1260" s="589"/>
      <c r="F1260" s="590"/>
      <c r="G1260" s="591"/>
      <c r="H1260" s="592"/>
      <c r="I1260" s="631">
        <v>628.98</v>
      </c>
      <c r="J1260" s="631">
        <f t="shared" si="364"/>
        <v>628.98</v>
      </c>
      <c r="K1260" s="593">
        <f t="shared" si="361"/>
        <v>797.23</v>
      </c>
      <c r="L1260" s="382" t="s">
        <v>21</v>
      </c>
      <c r="M1260" s="30"/>
      <c r="N1260" s="30">
        <v>797.23</v>
      </c>
      <c r="O1260" s="287">
        <f t="shared" si="362"/>
        <v>0</v>
      </c>
      <c r="P1260" s="287">
        <f t="shared" si="363"/>
        <v>0</v>
      </c>
      <c r="Q1260" s="288"/>
      <c r="R1260" s="243"/>
      <c r="S1260" s="378" t="str">
        <f t="shared" si="360"/>
        <v/>
      </c>
      <c r="U1260" s="722"/>
    </row>
    <row r="1261" spans="2:21" ht="25.5" hidden="1" x14ac:dyDescent="0.2">
      <c r="B1261" s="595">
        <v>97947</v>
      </c>
      <c r="C1261" s="596" t="s">
        <v>817</v>
      </c>
      <c r="D1261" s="597" t="s">
        <v>1354</v>
      </c>
      <c r="E1261" s="589"/>
      <c r="F1261" s="590"/>
      <c r="G1261" s="591"/>
      <c r="H1261" s="592"/>
      <c r="I1261" s="631">
        <v>1553.11</v>
      </c>
      <c r="J1261" s="631">
        <f t="shared" si="364"/>
        <v>1553.11</v>
      </c>
      <c r="K1261" s="593">
        <f t="shared" si="361"/>
        <v>1968.57</v>
      </c>
      <c r="L1261" s="382" t="s">
        <v>21</v>
      </c>
      <c r="M1261" s="30"/>
      <c r="N1261" s="30">
        <v>1968.57</v>
      </c>
      <c r="O1261" s="287">
        <f t="shared" si="362"/>
        <v>0</v>
      </c>
      <c r="P1261" s="287">
        <f t="shared" si="363"/>
        <v>0</v>
      </c>
      <c r="Q1261" s="288"/>
      <c r="R1261" s="243"/>
      <c r="S1261" s="378" t="str">
        <f t="shared" si="360"/>
        <v/>
      </c>
      <c r="U1261" s="722"/>
    </row>
    <row r="1262" spans="2:21" ht="25.5" hidden="1" x14ac:dyDescent="0.2">
      <c r="B1262" s="595">
        <v>97948</v>
      </c>
      <c r="C1262" s="596" t="s">
        <v>817</v>
      </c>
      <c r="D1262" s="597" t="s">
        <v>1355</v>
      </c>
      <c r="E1262" s="589"/>
      <c r="F1262" s="590"/>
      <c r="G1262" s="591"/>
      <c r="H1262" s="592"/>
      <c r="I1262" s="631">
        <v>2839.37</v>
      </c>
      <c r="J1262" s="631">
        <f t="shared" si="364"/>
        <v>2839.37</v>
      </c>
      <c r="K1262" s="593">
        <f t="shared" si="361"/>
        <v>3598.9</v>
      </c>
      <c r="L1262" s="382" t="s">
        <v>21</v>
      </c>
      <c r="M1262" s="30"/>
      <c r="N1262" s="30">
        <v>3598.9</v>
      </c>
      <c r="O1262" s="287">
        <f t="shared" si="362"/>
        <v>0</v>
      </c>
      <c r="P1262" s="287">
        <f t="shared" si="363"/>
        <v>0</v>
      </c>
      <c r="Q1262" s="288"/>
      <c r="R1262" s="243"/>
      <c r="S1262" s="378" t="str">
        <f t="shared" si="360"/>
        <v/>
      </c>
      <c r="U1262" s="722"/>
    </row>
    <row r="1263" spans="2:21" ht="25.5" hidden="1" x14ac:dyDescent="0.2">
      <c r="B1263" s="595">
        <v>97953</v>
      </c>
      <c r="C1263" s="596" t="s">
        <v>817</v>
      </c>
      <c r="D1263" s="597" t="s">
        <v>1356</v>
      </c>
      <c r="E1263" s="589"/>
      <c r="F1263" s="590"/>
      <c r="G1263" s="591"/>
      <c r="H1263" s="592"/>
      <c r="I1263" s="631">
        <v>1045.1300000000001</v>
      </c>
      <c r="J1263" s="631">
        <f t="shared" si="364"/>
        <v>1045.1300000000001</v>
      </c>
      <c r="K1263" s="593">
        <f t="shared" si="361"/>
        <v>1324.7</v>
      </c>
      <c r="L1263" s="382" t="s">
        <v>21</v>
      </c>
      <c r="M1263" s="30"/>
      <c r="N1263" s="30">
        <v>1324.7</v>
      </c>
      <c r="O1263" s="287">
        <f t="shared" si="362"/>
        <v>0</v>
      </c>
      <c r="P1263" s="287">
        <f t="shared" si="363"/>
        <v>0</v>
      </c>
      <c r="Q1263" s="288"/>
      <c r="R1263" s="243"/>
      <c r="S1263" s="378" t="str">
        <f t="shared" si="360"/>
        <v/>
      </c>
      <c r="U1263" s="722"/>
    </row>
    <row r="1264" spans="2:21" ht="25.5" hidden="1" x14ac:dyDescent="0.2">
      <c r="B1264" s="595">
        <v>97955</v>
      </c>
      <c r="C1264" s="596" t="s">
        <v>817</v>
      </c>
      <c r="D1264" s="597" t="s">
        <v>1357</v>
      </c>
      <c r="E1264" s="589"/>
      <c r="F1264" s="590"/>
      <c r="G1264" s="591"/>
      <c r="H1264" s="592"/>
      <c r="I1264" s="631">
        <v>2307.84</v>
      </c>
      <c r="J1264" s="631">
        <f t="shared" si="364"/>
        <v>2307.84</v>
      </c>
      <c r="K1264" s="593">
        <f t="shared" si="361"/>
        <v>2925.19</v>
      </c>
      <c r="L1264" s="382" t="s">
        <v>21</v>
      </c>
      <c r="M1264" s="30"/>
      <c r="N1264" s="30">
        <v>2925.19</v>
      </c>
      <c r="O1264" s="287">
        <f t="shared" si="362"/>
        <v>0</v>
      </c>
      <c r="P1264" s="287">
        <f t="shared" si="363"/>
        <v>0</v>
      </c>
      <c r="Q1264" s="288"/>
      <c r="R1264" s="243"/>
      <c r="S1264" s="378" t="str">
        <f t="shared" si="360"/>
        <v/>
      </c>
      <c r="U1264" s="722"/>
    </row>
    <row r="1265" spans="2:21" ht="25.5" hidden="1" x14ac:dyDescent="0.2">
      <c r="B1265" s="595">
        <v>97891</v>
      </c>
      <c r="C1265" s="596" t="s">
        <v>817</v>
      </c>
      <c r="D1265" s="597" t="s">
        <v>1358</v>
      </c>
      <c r="E1265" s="589"/>
      <c r="F1265" s="590"/>
      <c r="G1265" s="591"/>
      <c r="H1265" s="592"/>
      <c r="I1265" s="631">
        <v>202.66</v>
      </c>
      <c r="J1265" s="631">
        <f t="shared" si="364"/>
        <v>202.66</v>
      </c>
      <c r="K1265" s="593">
        <f t="shared" si="361"/>
        <v>256.87</v>
      </c>
      <c r="L1265" s="382" t="s">
        <v>21</v>
      </c>
      <c r="M1265" s="30"/>
      <c r="N1265" s="30">
        <v>256.87</v>
      </c>
      <c r="O1265" s="287">
        <f t="shared" si="362"/>
        <v>0</v>
      </c>
      <c r="P1265" s="287">
        <f t="shared" si="363"/>
        <v>0</v>
      </c>
      <c r="Q1265" s="288"/>
      <c r="R1265" s="243"/>
      <c r="S1265" s="378" t="str">
        <f t="shared" si="360"/>
        <v/>
      </c>
      <c r="U1265" s="722"/>
    </row>
    <row r="1266" spans="2:21" ht="25.5" hidden="1" x14ac:dyDescent="0.2">
      <c r="B1266" s="595">
        <v>97892</v>
      </c>
      <c r="C1266" s="596" t="s">
        <v>817</v>
      </c>
      <c r="D1266" s="597" t="s">
        <v>1359</v>
      </c>
      <c r="E1266" s="589"/>
      <c r="F1266" s="590"/>
      <c r="G1266" s="591"/>
      <c r="H1266" s="592"/>
      <c r="I1266" s="631">
        <v>377.57</v>
      </c>
      <c r="J1266" s="631">
        <f t="shared" si="364"/>
        <v>377.57</v>
      </c>
      <c r="K1266" s="593">
        <f t="shared" si="361"/>
        <v>478.57</v>
      </c>
      <c r="L1266" s="382" t="s">
        <v>21</v>
      </c>
      <c r="M1266" s="30"/>
      <c r="N1266" s="30">
        <v>478.57</v>
      </c>
      <c r="O1266" s="287">
        <f t="shared" si="362"/>
        <v>0</v>
      </c>
      <c r="P1266" s="287">
        <f t="shared" si="363"/>
        <v>0</v>
      </c>
      <c r="Q1266" s="288"/>
      <c r="R1266" s="243"/>
      <c r="S1266" s="378" t="str">
        <f t="shared" si="360"/>
        <v/>
      </c>
      <c r="U1266" s="722"/>
    </row>
    <row r="1267" spans="2:21" ht="25.5" hidden="1" x14ac:dyDescent="0.2">
      <c r="B1267" s="595">
        <v>97893</v>
      </c>
      <c r="C1267" s="596" t="s">
        <v>817</v>
      </c>
      <c r="D1267" s="597" t="s">
        <v>1360</v>
      </c>
      <c r="E1267" s="589"/>
      <c r="F1267" s="590"/>
      <c r="G1267" s="591"/>
      <c r="H1267" s="592"/>
      <c r="I1267" s="631">
        <v>515.29999999999995</v>
      </c>
      <c r="J1267" s="631">
        <f t="shared" si="364"/>
        <v>515.29999999999995</v>
      </c>
      <c r="K1267" s="593">
        <f t="shared" si="361"/>
        <v>653.14</v>
      </c>
      <c r="L1267" s="382" t="s">
        <v>21</v>
      </c>
      <c r="M1267" s="30"/>
      <c r="N1267" s="30">
        <v>653.14</v>
      </c>
      <c r="O1267" s="287">
        <f t="shared" si="362"/>
        <v>0</v>
      </c>
      <c r="P1267" s="287">
        <f t="shared" si="363"/>
        <v>0</v>
      </c>
      <c r="Q1267" s="288"/>
      <c r="R1267" s="243"/>
      <c r="S1267" s="378" t="str">
        <f t="shared" si="360"/>
        <v/>
      </c>
      <c r="U1267" s="722"/>
    </row>
    <row r="1268" spans="2:21" ht="25.5" hidden="1" x14ac:dyDescent="0.2">
      <c r="B1268" s="595">
        <v>97894</v>
      </c>
      <c r="C1268" s="596" t="s">
        <v>817</v>
      </c>
      <c r="D1268" s="597" t="s">
        <v>1361</v>
      </c>
      <c r="E1268" s="589"/>
      <c r="F1268" s="590"/>
      <c r="G1268" s="591"/>
      <c r="H1268" s="592"/>
      <c r="I1268" s="631">
        <v>575.22</v>
      </c>
      <c r="J1268" s="631">
        <f t="shared" si="364"/>
        <v>575.22</v>
      </c>
      <c r="K1268" s="593">
        <f t="shared" si="361"/>
        <v>729.09</v>
      </c>
      <c r="L1268" s="382" t="s">
        <v>21</v>
      </c>
      <c r="M1268" s="30"/>
      <c r="N1268" s="30">
        <v>729.09</v>
      </c>
      <c r="O1268" s="287">
        <f t="shared" si="362"/>
        <v>0</v>
      </c>
      <c r="P1268" s="287">
        <f t="shared" si="363"/>
        <v>0</v>
      </c>
      <c r="Q1268" s="288"/>
      <c r="R1268" s="243"/>
      <c r="S1268" s="378" t="str">
        <f t="shared" si="360"/>
        <v/>
      </c>
      <c r="U1268" s="722"/>
    </row>
    <row r="1269" spans="2:21" ht="25.5" hidden="1" x14ac:dyDescent="0.2">
      <c r="B1269" s="595">
        <v>97881</v>
      </c>
      <c r="C1269" s="596" t="s">
        <v>817</v>
      </c>
      <c r="D1269" s="597" t="s">
        <v>1362</v>
      </c>
      <c r="E1269" s="589"/>
      <c r="F1269" s="590"/>
      <c r="G1269" s="591"/>
      <c r="H1269" s="592"/>
      <c r="I1269" s="631">
        <v>94.14</v>
      </c>
      <c r="J1269" s="631">
        <f t="shared" si="364"/>
        <v>94.14</v>
      </c>
      <c r="K1269" s="593">
        <f t="shared" si="361"/>
        <v>119.32</v>
      </c>
      <c r="L1269" s="382" t="s">
        <v>21</v>
      </c>
      <c r="M1269" s="30"/>
      <c r="N1269" s="30">
        <v>119.32</v>
      </c>
      <c r="O1269" s="287">
        <f t="shared" si="362"/>
        <v>0</v>
      </c>
      <c r="P1269" s="287">
        <f t="shared" si="363"/>
        <v>0</v>
      </c>
      <c r="Q1269" s="288"/>
      <c r="R1269" s="243"/>
      <c r="S1269" s="378" t="str">
        <f t="shared" ref="S1269:S1332" si="365">IF(R1269="x","x",IF(R1269="y","x",IF(R1269="xy","x",IF(P1269&gt;0,"x",""))))</f>
        <v/>
      </c>
      <c r="U1269" s="722"/>
    </row>
    <row r="1270" spans="2:21" ht="25.5" hidden="1" x14ac:dyDescent="0.2">
      <c r="B1270" s="595">
        <v>97882</v>
      </c>
      <c r="C1270" s="596" t="s">
        <v>817</v>
      </c>
      <c r="D1270" s="597" t="s">
        <v>1363</v>
      </c>
      <c r="E1270" s="589"/>
      <c r="F1270" s="590"/>
      <c r="G1270" s="591"/>
      <c r="H1270" s="592"/>
      <c r="I1270" s="631">
        <v>144.63</v>
      </c>
      <c r="J1270" s="631">
        <f t="shared" si="364"/>
        <v>144.63</v>
      </c>
      <c r="K1270" s="593">
        <f t="shared" si="361"/>
        <v>183.32</v>
      </c>
      <c r="L1270" s="382" t="s">
        <v>21</v>
      </c>
      <c r="M1270" s="30"/>
      <c r="N1270" s="30">
        <v>183.32</v>
      </c>
      <c r="O1270" s="287">
        <f t="shared" si="362"/>
        <v>0</v>
      </c>
      <c r="P1270" s="287">
        <f t="shared" si="363"/>
        <v>0</v>
      </c>
      <c r="Q1270" s="288"/>
      <c r="R1270" s="243"/>
      <c r="S1270" s="378" t="str">
        <f t="shared" si="365"/>
        <v/>
      </c>
      <c r="U1270" s="722"/>
    </row>
    <row r="1271" spans="2:21" ht="25.5" hidden="1" x14ac:dyDescent="0.2">
      <c r="B1271" s="595">
        <v>97883</v>
      </c>
      <c r="C1271" s="596" t="s">
        <v>817</v>
      </c>
      <c r="D1271" s="597" t="s">
        <v>1364</v>
      </c>
      <c r="E1271" s="589"/>
      <c r="F1271" s="590"/>
      <c r="G1271" s="591"/>
      <c r="H1271" s="592"/>
      <c r="I1271" s="631">
        <v>274.64999999999998</v>
      </c>
      <c r="J1271" s="631">
        <f t="shared" si="364"/>
        <v>274.64999999999998</v>
      </c>
      <c r="K1271" s="593">
        <f t="shared" si="361"/>
        <v>348.12</v>
      </c>
      <c r="L1271" s="382" t="s">
        <v>21</v>
      </c>
      <c r="M1271" s="30"/>
      <c r="N1271" s="30">
        <v>348.12</v>
      </c>
      <c r="O1271" s="287">
        <f t="shared" si="362"/>
        <v>0</v>
      </c>
      <c r="P1271" s="287">
        <f t="shared" si="363"/>
        <v>0</v>
      </c>
      <c r="Q1271" s="288"/>
      <c r="R1271" s="243"/>
      <c r="S1271" s="378" t="str">
        <f t="shared" si="365"/>
        <v/>
      </c>
      <c r="U1271" s="722"/>
    </row>
    <row r="1272" spans="2:21" ht="25.5" hidden="1" x14ac:dyDescent="0.2">
      <c r="B1272" s="595">
        <v>97884</v>
      </c>
      <c r="C1272" s="596" t="s">
        <v>817</v>
      </c>
      <c r="D1272" s="597" t="s">
        <v>1365</v>
      </c>
      <c r="E1272" s="589"/>
      <c r="F1272" s="590"/>
      <c r="G1272" s="591"/>
      <c r="H1272" s="592"/>
      <c r="I1272" s="631">
        <v>521.75</v>
      </c>
      <c r="J1272" s="631">
        <f t="shared" si="364"/>
        <v>521.75</v>
      </c>
      <c r="K1272" s="593">
        <f t="shared" si="361"/>
        <v>661.32</v>
      </c>
      <c r="L1272" s="382" t="s">
        <v>21</v>
      </c>
      <c r="M1272" s="30"/>
      <c r="N1272" s="30">
        <v>661.32</v>
      </c>
      <c r="O1272" s="287">
        <f t="shared" si="362"/>
        <v>0</v>
      </c>
      <c r="P1272" s="287">
        <f t="shared" si="363"/>
        <v>0</v>
      </c>
      <c r="Q1272" s="288"/>
      <c r="R1272" s="243"/>
      <c r="S1272" s="378" t="str">
        <f t="shared" si="365"/>
        <v/>
      </c>
      <c r="U1272" s="722"/>
    </row>
    <row r="1273" spans="2:21" ht="25.5" hidden="1" x14ac:dyDescent="0.2">
      <c r="B1273" s="595">
        <v>97885</v>
      </c>
      <c r="C1273" s="596" t="s">
        <v>817</v>
      </c>
      <c r="D1273" s="597" t="s">
        <v>1366</v>
      </c>
      <c r="E1273" s="589"/>
      <c r="F1273" s="590"/>
      <c r="G1273" s="591"/>
      <c r="H1273" s="592"/>
      <c r="I1273" s="631">
        <v>801.42</v>
      </c>
      <c r="J1273" s="631">
        <f t="shared" si="364"/>
        <v>801.42</v>
      </c>
      <c r="K1273" s="593">
        <f t="shared" si="361"/>
        <v>1015.8</v>
      </c>
      <c r="L1273" s="382" t="s">
        <v>21</v>
      </c>
      <c r="M1273" s="30"/>
      <c r="N1273" s="30">
        <v>1015.8</v>
      </c>
      <c r="O1273" s="287">
        <f t="shared" si="362"/>
        <v>0</v>
      </c>
      <c r="P1273" s="287">
        <f t="shared" si="363"/>
        <v>0</v>
      </c>
      <c r="Q1273" s="288"/>
      <c r="R1273" s="243"/>
      <c r="S1273" s="378" t="str">
        <f t="shared" si="365"/>
        <v/>
      </c>
      <c r="U1273" s="722"/>
    </row>
    <row r="1274" spans="2:21" ht="25.5" hidden="1" x14ac:dyDescent="0.2">
      <c r="B1274" s="595">
        <v>91945</v>
      </c>
      <c r="C1274" s="596" t="s">
        <v>817</v>
      </c>
      <c r="D1274" s="597" t="s">
        <v>1367</v>
      </c>
      <c r="E1274" s="589"/>
      <c r="F1274" s="590"/>
      <c r="G1274" s="591"/>
      <c r="H1274" s="592"/>
      <c r="I1274" s="631">
        <v>11.13</v>
      </c>
      <c r="J1274" s="631">
        <f t="shared" si="364"/>
        <v>11.13</v>
      </c>
      <c r="K1274" s="593">
        <f t="shared" si="361"/>
        <v>14.11</v>
      </c>
      <c r="L1274" s="382" t="s">
        <v>21</v>
      </c>
      <c r="M1274" s="30"/>
      <c r="N1274" s="30">
        <v>14.11</v>
      </c>
      <c r="O1274" s="287">
        <f t="shared" si="362"/>
        <v>0</v>
      </c>
      <c r="P1274" s="287">
        <f t="shared" si="363"/>
        <v>0</v>
      </c>
      <c r="Q1274" s="288"/>
      <c r="R1274" s="243"/>
      <c r="S1274" s="378" t="str">
        <f t="shared" si="365"/>
        <v/>
      </c>
      <c r="U1274" s="722"/>
    </row>
    <row r="1275" spans="2:21" ht="25.5" hidden="1" x14ac:dyDescent="0.2">
      <c r="B1275" s="595">
        <v>91946</v>
      </c>
      <c r="C1275" s="596" t="s">
        <v>817</v>
      </c>
      <c r="D1275" s="597" t="s">
        <v>1368</v>
      </c>
      <c r="E1275" s="589"/>
      <c r="F1275" s="590"/>
      <c r="G1275" s="591"/>
      <c r="H1275" s="592"/>
      <c r="I1275" s="631">
        <v>9.4700000000000006</v>
      </c>
      <c r="J1275" s="631">
        <f t="shared" si="364"/>
        <v>9.4700000000000006</v>
      </c>
      <c r="K1275" s="593">
        <f t="shared" si="361"/>
        <v>12</v>
      </c>
      <c r="L1275" s="382" t="s">
        <v>21</v>
      </c>
      <c r="M1275" s="30"/>
      <c r="N1275" s="30">
        <v>12</v>
      </c>
      <c r="O1275" s="287">
        <f t="shared" si="362"/>
        <v>0</v>
      </c>
      <c r="P1275" s="287">
        <f t="shared" si="363"/>
        <v>0</v>
      </c>
      <c r="Q1275" s="288"/>
      <c r="R1275" s="243"/>
      <c r="S1275" s="378" t="str">
        <f t="shared" si="365"/>
        <v/>
      </c>
      <c r="U1275" s="722"/>
    </row>
    <row r="1276" spans="2:21" ht="25.5" hidden="1" x14ac:dyDescent="0.2">
      <c r="B1276" s="595">
        <v>91947</v>
      </c>
      <c r="C1276" s="596" t="s">
        <v>817</v>
      </c>
      <c r="D1276" s="597" t="s">
        <v>1369</v>
      </c>
      <c r="E1276" s="589"/>
      <c r="F1276" s="590"/>
      <c r="G1276" s="591"/>
      <c r="H1276" s="592"/>
      <c r="I1276" s="631">
        <v>8.44</v>
      </c>
      <c r="J1276" s="631">
        <f t="shared" si="364"/>
        <v>8.44</v>
      </c>
      <c r="K1276" s="593">
        <f t="shared" ref="K1276:K1302" si="366">IF(ISBLANK(I1276),0,ROUND(J1276*(1+$F$10)*(1+$F$11*E1276),2))</f>
        <v>10.7</v>
      </c>
      <c r="L1276" s="382" t="s">
        <v>21</v>
      </c>
      <c r="M1276" s="30"/>
      <c r="N1276" s="30">
        <v>10.7</v>
      </c>
      <c r="O1276" s="287">
        <f t="shared" ref="O1276:O1302" si="367">IF(ISBLANK(M1276),0,ROUND(K1276*M1276,2))</f>
        <v>0</v>
      </c>
      <c r="P1276" s="287">
        <f t="shared" ref="P1276:P1302" si="368">IF(ISBLANK(N1276),0,ROUND(M1276*N1276,2))</f>
        <v>0</v>
      </c>
      <c r="Q1276" s="288"/>
      <c r="R1276" s="243"/>
      <c r="S1276" s="378" t="str">
        <f t="shared" si="365"/>
        <v/>
      </c>
      <c r="U1276" s="722"/>
    </row>
    <row r="1277" spans="2:21" ht="25.5" hidden="1" x14ac:dyDescent="0.2">
      <c r="B1277" s="595">
        <v>91949</v>
      </c>
      <c r="C1277" s="596" t="s">
        <v>817</v>
      </c>
      <c r="D1277" s="597" t="s">
        <v>1370</v>
      </c>
      <c r="E1277" s="589"/>
      <c r="F1277" s="590"/>
      <c r="G1277" s="591"/>
      <c r="H1277" s="592"/>
      <c r="I1277" s="631">
        <v>17.420000000000002</v>
      </c>
      <c r="J1277" s="631">
        <f t="shared" si="364"/>
        <v>17.420000000000002</v>
      </c>
      <c r="K1277" s="593">
        <f t="shared" si="366"/>
        <v>22.08</v>
      </c>
      <c r="L1277" s="382" t="s">
        <v>21</v>
      </c>
      <c r="M1277" s="30"/>
      <c r="N1277" s="30">
        <v>22.08</v>
      </c>
      <c r="O1277" s="287">
        <f t="shared" si="367"/>
        <v>0</v>
      </c>
      <c r="P1277" s="287">
        <f t="shared" si="368"/>
        <v>0</v>
      </c>
      <c r="Q1277" s="288"/>
      <c r="R1277" s="243"/>
      <c r="S1277" s="378" t="str">
        <f t="shared" si="365"/>
        <v/>
      </c>
      <c r="U1277" s="722"/>
    </row>
    <row r="1278" spans="2:21" ht="25.5" hidden="1" x14ac:dyDescent="0.2">
      <c r="B1278" s="595">
        <v>91950</v>
      </c>
      <c r="C1278" s="596" t="s">
        <v>817</v>
      </c>
      <c r="D1278" s="597" t="s">
        <v>1371</v>
      </c>
      <c r="E1278" s="589"/>
      <c r="F1278" s="590"/>
      <c r="G1278" s="591"/>
      <c r="H1278" s="592"/>
      <c r="I1278" s="631">
        <v>15.41</v>
      </c>
      <c r="J1278" s="631">
        <f t="shared" si="364"/>
        <v>15.41</v>
      </c>
      <c r="K1278" s="593">
        <f t="shared" si="366"/>
        <v>19.53</v>
      </c>
      <c r="L1278" s="382" t="s">
        <v>21</v>
      </c>
      <c r="M1278" s="30"/>
      <c r="N1278" s="30">
        <v>19.53</v>
      </c>
      <c r="O1278" s="287">
        <f t="shared" si="367"/>
        <v>0</v>
      </c>
      <c r="P1278" s="287">
        <f t="shared" si="368"/>
        <v>0</v>
      </c>
      <c r="Q1278" s="288"/>
      <c r="R1278" s="243"/>
      <c r="S1278" s="378" t="str">
        <f t="shared" si="365"/>
        <v/>
      </c>
      <c r="U1278" s="722"/>
    </row>
    <row r="1279" spans="2:21" ht="25.5" hidden="1" x14ac:dyDescent="0.2">
      <c r="B1279" s="595">
        <v>91951</v>
      </c>
      <c r="C1279" s="596" t="s">
        <v>817</v>
      </c>
      <c r="D1279" s="597" t="s">
        <v>1372</v>
      </c>
      <c r="E1279" s="589"/>
      <c r="F1279" s="590"/>
      <c r="G1279" s="591"/>
      <c r="H1279" s="592"/>
      <c r="I1279" s="631">
        <v>14.21</v>
      </c>
      <c r="J1279" s="631">
        <f t="shared" si="364"/>
        <v>14.21</v>
      </c>
      <c r="K1279" s="593">
        <f t="shared" si="366"/>
        <v>18.010000000000002</v>
      </c>
      <c r="L1279" s="382" t="s">
        <v>21</v>
      </c>
      <c r="M1279" s="30"/>
      <c r="N1279" s="30">
        <v>18.010000000000002</v>
      </c>
      <c r="O1279" s="287">
        <f t="shared" si="367"/>
        <v>0</v>
      </c>
      <c r="P1279" s="287">
        <f t="shared" si="368"/>
        <v>0</v>
      </c>
      <c r="Q1279" s="288"/>
      <c r="R1279" s="243"/>
      <c r="S1279" s="378" t="str">
        <f t="shared" si="365"/>
        <v/>
      </c>
      <c r="U1279" s="722"/>
    </row>
    <row r="1280" spans="2:21" ht="25.5" hidden="1" x14ac:dyDescent="0.2">
      <c r="B1280" s="595">
        <v>101946</v>
      </c>
      <c r="C1280" s="596" t="s">
        <v>817</v>
      </c>
      <c r="D1280" s="597" t="s">
        <v>1373</v>
      </c>
      <c r="E1280" s="589"/>
      <c r="F1280" s="590"/>
      <c r="G1280" s="591"/>
      <c r="H1280" s="592"/>
      <c r="I1280" s="631">
        <v>172.3</v>
      </c>
      <c r="J1280" s="631">
        <f t="shared" si="364"/>
        <v>172.3</v>
      </c>
      <c r="K1280" s="593">
        <f t="shared" si="366"/>
        <v>218.39</v>
      </c>
      <c r="L1280" s="382" t="s">
        <v>21</v>
      </c>
      <c r="M1280" s="30"/>
      <c r="N1280" s="30">
        <v>218.39</v>
      </c>
      <c r="O1280" s="287">
        <f t="shared" si="367"/>
        <v>0</v>
      </c>
      <c r="P1280" s="287">
        <f t="shared" si="368"/>
        <v>0</v>
      </c>
      <c r="Q1280" s="288"/>
      <c r="R1280" s="243"/>
      <c r="S1280" s="378" t="str">
        <f t="shared" si="365"/>
        <v/>
      </c>
      <c r="U1280" s="722"/>
    </row>
    <row r="1281" spans="2:21" ht="25.5" hidden="1" x14ac:dyDescent="0.2">
      <c r="B1281" s="595">
        <v>97362</v>
      </c>
      <c r="C1281" s="596" t="s">
        <v>817</v>
      </c>
      <c r="D1281" s="597" t="s">
        <v>1374</v>
      </c>
      <c r="E1281" s="589"/>
      <c r="F1281" s="590"/>
      <c r="G1281" s="591"/>
      <c r="H1281" s="592"/>
      <c r="I1281" s="631">
        <v>2330.2800000000002</v>
      </c>
      <c r="J1281" s="631">
        <f t="shared" si="364"/>
        <v>2330.2800000000002</v>
      </c>
      <c r="K1281" s="593">
        <f t="shared" si="366"/>
        <v>2953.63</v>
      </c>
      <c r="L1281" s="382" t="s">
        <v>21</v>
      </c>
      <c r="M1281" s="30"/>
      <c r="N1281" s="30">
        <v>2953.63</v>
      </c>
      <c r="O1281" s="287">
        <f t="shared" si="367"/>
        <v>0</v>
      </c>
      <c r="P1281" s="287">
        <f t="shared" si="368"/>
        <v>0</v>
      </c>
      <c r="Q1281" s="288"/>
      <c r="R1281" s="243"/>
      <c r="S1281" s="378" t="str">
        <f t="shared" si="365"/>
        <v/>
      </c>
      <c r="U1281" s="722"/>
    </row>
    <row r="1282" spans="2:21" ht="25.5" hidden="1" x14ac:dyDescent="0.2">
      <c r="B1282" s="595">
        <v>97359</v>
      </c>
      <c r="C1282" s="596" t="s">
        <v>817</v>
      </c>
      <c r="D1282" s="597" t="s">
        <v>1375</v>
      </c>
      <c r="E1282" s="589"/>
      <c r="F1282" s="590"/>
      <c r="G1282" s="591"/>
      <c r="H1282" s="592"/>
      <c r="I1282" s="631">
        <v>4033.41</v>
      </c>
      <c r="J1282" s="631">
        <f t="shared" si="364"/>
        <v>4033.41</v>
      </c>
      <c r="K1282" s="593">
        <f t="shared" si="366"/>
        <v>5112.3500000000004</v>
      </c>
      <c r="L1282" s="382" t="s">
        <v>21</v>
      </c>
      <c r="M1282" s="30"/>
      <c r="N1282" s="30">
        <v>5112.3500000000004</v>
      </c>
      <c r="O1282" s="287">
        <f t="shared" si="367"/>
        <v>0</v>
      </c>
      <c r="P1282" s="287">
        <f t="shared" si="368"/>
        <v>0</v>
      </c>
      <c r="Q1282" s="288"/>
      <c r="R1282" s="243"/>
      <c r="S1282" s="378" t="str">
        <f t="shared" si="365"/>
        <v/>
      </c>
      <c r="U1282" s="722"/>
    </row>
    <row r="1283" spans="2:21" ht="25.5" hidden="1" x14ac:dyDescent="0.2">
      <c r="B1283" s="595">
        <v>97360</v>
      </c>
      <c r="C1283" s="596" t="s">
        <v>817</v>
      </c>
      <c r="D1283" s="597" t="s">
        <v>1376</v>
      </c>
      <c r="E1283" s="589"/>
      <c r="F1283" s="590"/>
      <c r="G1283" s="591"/>
      <c r="H1283" s="592"/>
      <c r="I1283" s="631">
        <v>7781.46</v>
      </c>
      <c r="J1283" s="631">
        <f t="shared" si="364"/>
        <v>7781.46</v>
      </c>
      <c r="K1283" s="593">
        <f t="shared" si="366"/>
        <v>9863</v>
      </c>
      <c r="L1283" s="382" t="s">
        <v>21</v>
      </c>
      <c r="M1283" s="30"/>
      <c r="N1283" s="30">
        <v>9863</v>
      </c>
      <c r="O1283" s="287">
        <f t="shared" si="367"/>
        <v>0</v>
      </c>
      <c r="P1283" s="287">
        <f t="shared" si="368"/>
        <v>0</v>
      </c>
      <c r="Q1283" s="288"/>
      <c r="R1283" s="243"/>
      <c r="S1283" s="378" t="str">
        <f t="shared" si="365"/>
        <v/>
      </c>
      <c r="U1283" s="722"/>
    </row>
    <row r="1284" spans="2:21" ht="25.5" hidden="1" x14ac:dyDescent="0.2">
      <c r="B1284" s="595">
        <v>97361</v>
      </c>
      <c r="C1284" s="596" t="s">
        <v>817</v>
      </c>
      <c r="D1284" s="597" t="s">
        <v>1377</v>
      </c>
      <c r="E1284" s="589"/>
      <c r="F1284" s="590"/>
      <c r="G1284" s="591"/>
      <c r="H1284" s="592"/>
      <c r="I1284" s="631">
        <v>10375.290000000001</v>
      </c>
      <c r="J1284" s="631">
        <f t="shared" si="364"/>
        <v>10375.290000000001</v>
      </c>
      <c r="K1284" s="593">
        <f t="shared" si="366"/>
        <v>13150.68</v>
      </c>
      <c r="L1284" s="382" t="s">
        <v>21</v>
      </c>
      <c r="M1284" s="30"/>
      <c r="N1284" s="30">
        <v>13150.68</v>
      </c>
      <c r="O1284" s="287">
        <f t="shared" si="367"/>
        <v>0</v>
      </c>
      <c r="P1284" s="287">
        <f t="shared" si="368"/>
        <v>0</v>
      </c>
      <c r="Q1284" s="288"/>
      <c r="R1284" s="243"/>
      <c r="S1284" s="378" t="str">
        <f t="shared" si="365"/>
        <v/>
      </c>
      <c r="U1284" s="722"/>
    </row>
    <row r="1285" spans="2:21" ht="25.5" hidden="1" x14ac:dyDescent="0.2">
      <c r="B1285" s="595">
        <v>101875</v>
      </c>
      <c r="C1285" s="596" t="s">
        <v>817</v>
      </c>
      <c r="D1285" s="597" t="s">
        <v>1378</v>
      </c>
      <c r="E1285" s="589"/>
      <c r="F1285" s="590"/>
      <c r="G1285" s="591"/>
      <c r="H1285" s="592"/>
      <c r="I1285" s="631">
        <v>494.49</v>
      </c>
      <c r="J1285" s="631">
        <f t="shared" si="364"/>
        <v>494.49</v>
      </c>
      <c r="K1285" s="593">
        <f t="shared" si="366"/>
        <v>626.77</v>
      </c>
      <c r="L1285" s="382" t="s">
        <v>21</v>
      </c>
      <c r="M1285" s="30"/>
      <c r="N1285" s="30">
        <v>626.77</v>
      </c>
      <c r="O1285" s="287">
        <f t="shared" si="367"/>
        <v>0</v>
      </c>
      <c r="P1285" s="287">
        <f t="shared" si="368"/>
        <v>0</v>
      </c>
      <c r="Q1285" s="288"/>
      <c r="R1285" s="243"/>
      <c r="S1285" s="378" t="str">
        <f t="shared" si="365"/>
        <v/>
      </c>
      <c r="U1285" s="722"/>
    </row>
    <row r="1286" spans="2:21" ht="25.5" hidden="1" x14ac:dyDescent="0.2">
      <c r="B1286" s="595">
        <v>101876</v>
      </c>
      <c r="C1286" s="596" t="s">
        <v>817</v>
      </c>
      <c r="D1286" s="597" t="s">
        <v>1379</v>
      </c>
      <c r="E1286" s="589"/>
      <c r="F1286" s="590"/>
      <c r="G1286" s="591"/>
      <c r="H1286" s="592"/>
      <c r="I1286" s="631">
        <v>88.66</v>
      </c>
      <c r="J1286" s="631">
        <f t="shared" si="364"/>
        <v>88.66</v>
      </c>
      <c r="K1286" s="593">
        <f t="shared" si="366"/>
        <v>112.38</v>
      </c>
      <c r="L1286" s="382" t="s">
        <v>21</v>
      </c>
      <c r="M1286" s="30"/>
      <c r="N1286" s="30">
        <v>112.38</v>
      </c>
      <c r="O1286" s="287">
        <f t="shared" si="367"/>
        <v>0</v>
      </c>
      <c r="P1286" s="287">
        <f t="shared" si="368"/>
        <v>0</v>
      </c>
      <c r="Q1286" s="288"/>
      <c r="R1286" s="243"/>
      <c r="S1286" s="378" t="str">
        <f t="shared" si="365"/>
        <v/>
      </c>
      <c r="U1286" s="722"/>
    </row>
    <row r="1287" spans="2:21" ht="25.5" hidden="1" x14ac:dyDescent="0.2">
      <c r="B1287" s="595">
        <v>101877</v>
      </c>
      <c r="C1287" s="596" t="s">
        <v>817</v>
      </c>
      <c r="D1287" s="597" t="s">
        <v>1380</v>
      </c>
      <c r="E1287" s="589"/>
      <c r="F1287" s="590"/>
      <c r="G1287" s="591"/>
      <c r="H1287" s="592"/>
      <c r="I1287" s="631">
        <v>60.79</v>
      </c>
      <c r="J1287" s="631">
        <f t="shared" si="364"/>
        <v>60.79</v>
      </c>
      <c r="K1287" s="593">
        <f t="shared" si="366"/>
        <v>77.05</v>
      </c>
      <c r="L1287" s="382" t="s">
        <v>21</v>
      </c>
      <c r="M1287" s="30"/>
      <c r="N1287" s="30">
        <v>77.05</v>
      </c>
      <c r="O1287" s="287">
        <f t="shared" si="367"/>
        <v>0</v>
      </c>
      <c r="P1287" s="287">
        <f t="shared" si="368"/>
        <v>0</v>
      </c>
      <c r="Q1287" s="288"/>
      <c r="R1287" s="243"/>
      <c r="S1287" s="378" t="str">
        <f t="shared" si="365"/>
        <v/>
      </c>
      <c r="U1287" s="722"/>
    </row>
    <row r="1288" spans="2:21" ht="25.5" hidden="1" x14ac:dyDescent="0.2">
      <c r="B1288" s="595">
        <v>101878</v>
      </c>
      <c r="C1288" s="596" t="s">
        <v>817</v>
      </c>
      <c r="D1288" s="597" t="s">
        <v>1381</v>
      </c>
      <c r="E1288" s="589"/>
      <c r="F1288" s="590"/>
      <c r="G1288" s="591"/>
      <c r="H1288" s="592"/>
      <c r="I1288" s="631">
        <v>678.43</v>
      </c>
      <c r="J1288" s="631">
        <f t="shared" si="364"/>
        <v>678.43</v>
      </c>
      <c r="K1288" s="593">
        <f t="shared" si="366"/>
        <v>859.91</v>
      </c>
      <c r="L1288" s="382" t="s">
        <v>21</v>
      </c>
      <c r="M1288" s="30"/>
      <c r="N1288" s="30">
        <v>859.91</v>
      </c>
      <c r="O1288" s="287">
        <f t="shared" si="367"/>
        <v>0</v>
      </c>
      <c r="P1288" s="287">
        <f t="shared" si="368"/>
        <v>0</v>
      </c>
      <c r="Q1288" s="288"/>
      <c r="R1288" s="243"/>
      <c r="S1288" s="378" t="str">
        <f t="shared" si="365"/>
        <v/>
      </c>
      <c r="U1288" s="722"/>
    </row>
    <row r="1289" spans="2:21" ht="25.5" hidden="1" x14ac:dyDescent="0.2">
      <c r="B1289" s="595">
        <v>101879</v>
      </c>
      <c r="C1289" s="596" t="s">
        <v>817</v>
      </c>
      <c r="D1289" s="597" t="s">
        <v>1382</v>
      </c>
      <c r="E1289" s="589"/>
      <c r="F1289" s="590"/>
      <c r="G1289" s="591"/>
      <c r="H1289" s="592"/>
      <c r="I1289" s="631">
        <v>717.8</v>
      </c>
      <c r="J1289" s="631">
        <f t="shared" si="364"/>
        <v>717.8</v>
      </c>
      <c r="K1289" s="593">
        <f t="shared" si="366"/>
        <v>909.81</v>
      </c>
      <c r="L1289" s="382" t="s">
        <v>21</v>
      </c>
      <c r="M1289" s="30"/>
      <c r="N1289" s="30">
        <v>909.81</v>
      </c>
      <c r="O1289" s="287">
        <f t="shared" si="367"/>
        <v>0</v>
      </c>
      <c r="P1289" s="287">
        <f t="shared" si="368"/>
        <v>0</v>
      </c>
      <c r="Q1289" s="288"/>
      <c r="R1289" s="243"/>
      <c r="S1289" s="378" t="str">
        <f t="shared" si="365"/>
        <v/>
      </c>
      <c r="U1289" s="722"/>
    </row>
    <row r="1290" spans="2:21" ht="25.5" hidden="1" x14ac:dyDescent="0.2">
      <c r="B1290" s="595">
        <v>101880</v>
      </c>
      <c r="C1290" s="596" t="s">
        <v>817</v>
      </c>
      <c r="D1290" s="597" t="s">
        <v>1383</v>
      </c>
      <c r="E1290" s="589"/>
      <c r="F1290" s="590"/>
      <c r="G1290" s="591"/>
      <c r="H1290" s="592"/>
      <c r="I1290" s="631">
        <v>825.76</v>
      </c>
      <c r="J1290" s="631">
        <f t="shared" si="364"/>
        <v>825.76</v>
      </c>
      <c r="K1290" s="593">
        <f t="shared" si="366"/>
        <v>1046.6500000000001</v>
      </c>
      <c r="L1290" s="382" t="s">
        <v>21</v>
      </c>
      <c r="M1290" s="30"/>
      <c r="N1290" s="30">
        <v>1046.6500000000001</v>
      </c>
      <c r="O1290" s="287">
        <f t="shared" si="367"/>
        <v>0</v>
      </c>
      <c r="P1290" s="287">
        <f t="shared" si="368"/>
        <v>0</v>
      </c>
      <c r="Q1290" s="288"/>
      <c r="R1290" s="243"/>
      <c r="S1290" s="378" t="str">
        <f t="shared" si="365"/>
        <v/>
      </c>
      <c r="U1290" s="722"/>
    </row>
    <row r="1291" spans="2:21" ht="25.5" hidden="1" x14ac:dyDescent="0.2">
      <c r="B1291" s="595">
        <v>101881</v>
      </c>
      <c r="C1291" s="596" t="s">
        <v>817</v>
      </c>
      <c r="D1291" s="597" t="s">
        <v>1384</v>
      </c>
      <c r="E1291" s="589"/>
      <c r="F1291" s="590"/>
      <c r="G1291" s="591"/>
      <c r="H1291" s="592"/>
      <c r="I1291" s="631">
        <v>1191.57</v>
      </c>
      <c r="J1291" s="631">
        <f t="shared" si="364"/>
        <v>1191.57</v>
      </c>
      <c r="K1291" s="593">
        <f t="shared" si="366"/>
        <v>1510.31</v>
      </c>
      <c r="L1291" s="382" t="s">
        <v>21</v>
      </c>
      <c r="M1291" s="30"/>
      <c r="N1291" s="30">
        <v>1510.31</v>
      </c>
      <c r="O1291" s="287">
        <f t="shared" si="367"/>
        <v>0</v>
      </c>
      <c r="P1291" s="287">
        <f t="shared" si="368"/>
        <v>0</v>
      </c>
      <c r="Q1291" s="288"/>
      <c r="R1291" s="243"/>
      <c r="S1291" s="378" t="str">
        <f t="shared" si="365"/>
        <v/>
      </c>
      <c r="U1291" s="722"/>
    </row>
    <row r="1292" spans="2:21" ht="25.5" hidden="1" x14ac:dyDescent="0.2">
      <c r="B1292" s="595">
        <v>101882</v>
      </c>
      <c r="C1292" s="596" t="s">
        <v>817</v>
      </c>
      <c r="D1292" s="597" t="s">
        <v>1385</v>
      </c>
      <c r="E1292" s="589"/>
      <c r="F1292" s="590"/>
      <c r="G1292" s="591"/>
      <c r="H1292" s="592"/>
      <c r="I1292" s="631">
        <v>1695.65</v>
      </c>
      <c r="J1292" s="631">
        <f t="shared" si="364"/>
        <v>1695.65</v>
      </c>
      <c r="K1292" s="593">
        <f t="shared" si="366"/>
        <v>2149.2399999999998</v>
      </c>
      <c r="L1292" s="382" t="s">
        <v>21</v>
      </c>
      <c r="M1292" s="30"/>
      <c r="N1292" s="30">
        <v>2149.2399999999998</v>
      </c>
      <c r="O1292" s="287">
        <f t="shared" si="367"/>
        <v>0</v>
      </c>
      <c r="P1292" s="287">
        <f t="shared" si="368"/>
        <v>0</v>
      </c>
      <c r="Q1292" s="288"/>
      <c r="R1292" s="243"/>
      <c r="S1292" s="378" t="str">
        <f t="shared" si="365"/>
        <v/>
      </c>
      <c r="U1292" s="722"/>
    </row>
    <row r="1293" spans="2:21" ht="25.5" hidden="1" x14ac:dyDescent="0.2">
      <c r="B1293" s="595">
        <v>101883</v>
      </c>
      <c r="C1293" s="596" t="s">
        <v>817</v>
      </c>
      <c r="D1293" s="597" t="s">
        <v>1386</v>
      </c>
      <c r="E1293" s="589"/>
      <c r="F1293" s="590"/>
      <c r="G1293" s="591"/>
      <c r="H1293" s="592"/>
      <c r="I1293" s="631">
        <v>684.13</v>
      </c>
      <c r="J1293" s="631">
        <f t="shared" si="364"/>
        <v>684.13</v>
      </c>
      <c r="K1293" s="593">
        <f t="shared" si="366"/>
        <v>867.13</v>
      </c>
      <c r="L1293" s="382" t="s">
        <v>21</v>
      </c>
      <c r="M1293" s="30"/>
      <c r="N1293" s="30">
        <v>867.13</v>
      </c>
      <c r="O1293" s="287">
        <f t="shared" si="367"/>
        <v>0</v>
      </c>
      <c r="P1293" s="287">
        <f t="shared" si="368"/>
        <v>0</v>
      </c>
      <c r="Q1293" s="288"/>
      <c r="R1293" s="243"/>
      <c r="S1293" s="378" t="str">
        <f t="shared" si="365"/>
        <v/>
      </c>
      <c r="U1293" s="722"/>
    </row>
    <row r="1294" spans="2:21" hidden="1" x14ac:dyDescent="0.2">
      <c r="B1294" s="595">
        <v>101901</v>
      </c>
      <c r="C1294" s="596" t="s">
        <v>817</v>
      </c>
      <c r="D1294" s="597" t="s">
        <v>1387</v>
      </c>
      <c r="E1294" s="589"/>
      <c r="F1294" s="590"/>
      <c r="G1294" s="591"/>
      <c r="H1294" s="592"/>
      <c r="I1294" s="631">
        <v>126.08</v>
      </c>
      <c r="J1294" s="631">
        <f t="shared" si="364"/>
        <v>126.08</v>
      </c>
      <c r="K1294" s="593">
        <f t="shared" si="366"/>
        <v>159.81</v>
      </c>
      <c r="L1294" s="382" t="s">
        <v>21</v>
      </c>
      <c r="M1294" s="30"/>
      <c r="N1294" s="30">
        <v>159.81</v>
      </c>
      <c r="O1294" s="287">
        <f t="shared" si="367"/>
        <v>0</v>
      </c>
      <c r="P1294" s="287">
        <f t="shared" si="368"/>
        <v>0</v>
      </c>
      <c r="Q1294" s="288"/>
      <c r="R1294" s="243"/>
      <c r="S1294" s="378" t="str">
        <f t="shared" si="365"/>
        <v/>
      </c>
      <c r="U1294" s="722"/>
    </row>
    <row r="1295" spans="2:21" hidden="1" x14ac:dyDescent="0.2">
      <c r="B1295" s="595">
        <v>101902</v>
      </c>
      <c r="C1295" s="596" t="s">
        <v>817</v>
      </c>
      <c r="D1295" s="597" t="s">
        <v>1388</v>
      </c>
      <c r="E1295" s="589"/>
      <c r="F1295" s="590"/>
      <c r="G1295" s="591"/>
      <c r="H1295" s="592"/>
      <c r="I1295" s="631">
        <v>156</v>
      </c>
      <c r="J1295" s="631">
        <f t="shared" si="364"/>
        <v>156</v>
      </c>
      <c r="K1295" s="593">
        <f t="shared" si="366"/>
        <v>197.73</v>
      </c>
      <c r="L1295" s="382" t="s">
        <v>21</v>
      </c>
      <c r="M1295" s="30"/>
      <c r="N1295" s="30">
        <v>197.73</v>
      </c>
      <c r="O1295" s="287">
        <f t="shared" si="367"/>
        <v>0</v>
      </c>
      <c r="P1295" s="287">
        <f t="shared" si="368"/>
        <v>0</v>
      </c>
      <c r="Q1295" s="288"/>
      <c r="R1295" s="243"/>
      <c r="S1295" s="378" t="str">
        <f t="shared" si="365"/>
        <v/>
      </c>
      <c r="U1295" s="722"/>
    </row>
    <row r="1296" spans="2:21" hidden="1" x14ac:dyDescent="0.2">
      <c r="B1296" s="595">
        <v>101903</v>
      </c>
      <c r="C1296" s="596" t="s">
        <v>817</v>
      </c>
      <c r="D1296" s="597" t="s">
        <v>1389</v>
      </c>
      <c r="E1296" s="589"/>
      <c r="F1296" s="590"/>
      <c r="G1296" s="591"/>
      <c r="H1296" s="592"/>
      <c r="I1296" s="631">
        <v>325.16000000000003</v>
      </c>
      <c r="J1296" s="631">
        <f t="shared" si="364"/>
        <v>325.16000000000003</v>
      </c>
      <c r="K1296" s="593">
        <f t="shared" si="366"/>
        <v>412.14</v>
      </c>
      <c r="L1296" s="382" t="s">
        <v>21</v>
      </c>
      <c r="M1296" s="30"/>
      <c r="N1296" s="30">
        <v>412.14</v>
      </c>
      <c r="O1296" s="287">
        <f t="shared" si="367"/>
        <v>0</v>
      </c>
      <c r="P1296" s="287">
        <f t="shared" si="368"/>
        <v>0</v>
      </c>
      <c r="Q1296" s="288"/>
      <c r="R1296" s="243"/>
      <c r="S1296" s="378" t="str">
        <f t="shared" si="365"/>
        <v/>
      </c>
      <c r="U1296" s="722"/>
    </row>
    <row r="1297" spans="2:21" hidden="1" x14ac:dyDescent="0.2">
      <c r="B1297" s="595">
        <v>101904</v>
      </c>
      <c r="C1297" s="596" t="s">
        <v>817</v>
      </c>
      <c r="D1297" s="597" t="s">
        <v>1390</v>
      </c>
      <c r="E1297" s="589"/>
      <c r="F1297" s="590"/>
      <c r="G1297" s="591"/>
      <c r="H1297" s="592"/>
      <c r="I1297" s="631">
        <v>1188.8599999999999</v>
      </c>
      <c r="J1297" s="631">
        <f t="shared" si="364"/>
        <v>1188.8599999999999</v>
      </c>
      <c r="K1297" s="593">
        <f t="shared" si="366"/>
        <v>1506.88</v>
      </c>
      <c r="L1297" s="382" t="s">
        <v>21</v>
      </c>
      <c r="M1297" s="30"/>
      <c r="N1297" s="30">
        <v>1506.88</v>
      </c>
      <c r="O1297" s="287">
        <f t="shared" si="367"/>
        <v>0</v>
      </c>
      <c r="P1297" s="287">
        <f t="shared" si="368"/>
        <v>0</v>
      </c>
      <c r="Q1297" s="288"/>
      <c r="R1297" s="243"/>
      <c r="S1297" s="378" t="str">
        <f t="shared" si="365"/>
        <v/>
      </c>
      <c r="U1297" s="722"/>
    </row>
    <row r="1298" spans="2:21" ht="25.5" hidden="1" x14ac:dyDescent="0.2">
      <c r="B1298" s="595">
        <v>93653</v>
      </c>
      <c r="C1298" s="596" t="s">
        <v>817</v>
      </c>
      <c r="D1298" s="597" t="s">
        <v>1391</v>
      </c>
      <c r="E1298" s="589"/>
      <c r="F1298" s="590"/>
      <c r="G1298" s="591"/>
      <c r="H1298" s="592"/>
      <c r="I1298" s="631">
        <v>12.81</v>
      </c>
      <c r="J1298" s="631">
        <f t="shared" si="364"/>
        <v>12.81</v>
      </c>
      <c r="K1298" s="593">
        <f t="shared" si="366"/>
        <v>16.239999999999998</v>
      </c>
      <c r="L1298" s="382" t="s">
        <v>21</v>
      </c>
      <c r="M1298" s="30"/>
      <c r="N1298" s="30">
        <v>16.239999999999998</v>
      </c>
      <c r="O1298" s="287">
        <f t="shared" si="367"/>
        <v>0</v>
      </c>
      <c r="P1298" s="287">
        <f t="shared" si="368"/>
        <v>0</v>
      </c>
      <c r="Q1298" s="288"/>
      <c r="R1298" s="243"/>
      <c r="S1298" s="378" t="str">
        <f t="shared" si="365"/>
        <v/>
      </c>
      <c r="U1298" s="722"/>
    </row>
    <row r="1299" spans="2:21" ht="25.5" hidden="1" x14ac:dyDescent="0.2">
      <c r="B1299" s="595">
        <v>93654</v>
      </c>
      <c r="C1299" s="596" t="s">
        <v>817</v>
      </c>
      <c r="D1299" s="597" t="s">
        <v>1392</v>
      </c>
      <c r="E1299" s="589"/>
      <c r="F1299" s="590"/>
      <c r="G1299" s="591"/>
      <c r="H1299" s="592"/>
      <c r="I1299" s="631">
        <v>13.45</v>
      </c>
      <c r="J1299" s="631">
        <f t="shared" si="364"/>
        <v>13.45</v>
      </c>
      <c r="K1299" s="593">
        <f t="shared" si="366"/>
        <v>17.05</v>
      </c>
      <c r="L1299" s="382" t="s">
        <v>21</v>
      </c>
      <c r="M1299" s="30"/>
      <c r="N1299" s="30">
        <v>17.05</v>
      </c>
      <c r="O1299" s="287">
        <f t="shared" si="367"/>
        <v>0</v>
      </c>
      <c r="P1299" s="287">
        <f t="shared" si="368"/>
        <v>0</v>
      </c>
      <c r="Q1299" s="288"/>
      <c r="R1299" s="243"/>
      <c r="S1299" s="378" t="str">
        <f t="shared" si="365"/>
        <v/>
      </c>
      <c r="U1299" s="722"/>
    </row>
    <row r="1300" spans="2:21" ht="25.5" hidden="1" x14ac:dyDescent="0.2">
      <c r="B1300" s="595">
        <v>93655</v>
      </c>
      <c r="C1300" s="596" t="s">
        <v>817</v>
      </c>
      <c r="D1300" s="597" t="s">
        <v>1393</v>
      </c>
      <c r="E1300" s="589"/>
      <c r="F1300" s="590"/>
      <c r="G1300" s="591"/>
      <c r="H1300" s="592"/>
      <c r="I1300" s="631">
        <v>14.66</v>
      </c>
      <c r="J1300" s="631">
        <f t="shared" si="364"/>
        <v>14.66</v>
      </c>
      <c r="K1300" s="593">
        <f t="shared" si="366"/>
        <v>18.579999999999998</v>
      </c>
      <c r="L1300" s="382" t="s">
        <v>21</v>
      </c>
      <c r="M1300" s="30"/>
      <c r="N1300" s="30">
        <v>18.579999999999998</v>
      </c>
      <c r="O1300" s="287">
        <f t="shared" si="367"/>
        <v>0</v>
      </c>
      <c r="P1300" s="287">
        <f t="shared" si="368"/>
        <v>0</v>
      </c>
      <c r="Q1300" s="288"/>
      <c r="R1300" s="243"/>
      <c r="S1300" s="378" t="str">
        <f t="shared" si="365"/>
        <v/>
      </c>
      <c r="U1300" s="722"/>
    </row>
    <row r="1301" spans="2:21" ht="25.5" hidden="1" x14ac:dyDescent="0.2">
      <c r="B1301" s="595">
        <v>93656</v>
      </c>
      <c r="C1301" s="596" t="s">
        <v>817</v>
      </c>
      <c r="D1301" s="597" t="s">
        <v>1394</v>
      </c>
      <c r="E1301" s="589"/>
      <c r="F1301" s="590"/>
      <c r="G1301" s="591"/>
      <c r="H1301" s="592"/>
      <c r="I1301" s="631">
        <v>14.66</v>
      </c>
      <c r="J1301" s="631">
        <f t="shared" ref="J1301:J1364" si="369">IF(ISBLANK(I1301),"",SUM(H1301:I1301))</f>
        <v>14.66</v>
      </c>
      <c r="K1301" s="593">
        <f t="shared" si="366"/>
        <v>18.579999999999998</v>
      </c>
      <c r="L1301" s="382" t="s">
        <v>21</v>
      </c>
      <c r="M1301" s="30"/>
      <c r="N1301" s="30">
        <v>18.579999999999998</v>
      </c>
      <c r="O1301" s="287">
        <f t="shared" si="367"/>
        <v>0</v>
      </c>
      <c r="P1301" s="287">
        <f t="shared" si="368"/>
        <v>0</v>
      </c>
      <c r="Q1301" s="288"/>
      <c r="R1301" s="243"/>
      <c r="S1301" s="378" t="str">
        <f t="shared" si="365"/>
        <v/>
      </c>
      <c r="U1301" s="722"/>
    </row>
    <row r="1302" spans="2:21" ht="25.5" hidden="1" x14ac:dyDescent="0.2">
      <c r="B1302" s="595">
        <v>93657</v>
      </c>
      <c r="C1302" s="596" t="s">
        <v>817</v>
      </c>
      <c r="D1302" s="597" t="s">
        <v>1395</v>
      </c>
      <c r="E1302" s="589"/>
      <c r="F1302" s="590"/>
      <c r="G1302" s="591"/>
      <c r="H1302" s="592"/>
      <c r="I1302" s="631">
        <v>16.13</v>
      </c>
      <c r="J1302" s="631">
        <f t="shared" si="369"/>
        <v>16.13</v>
      </c>
      <c r="K1302" s="593">
        <f t="shared" si="366"/>
        <v>20.440000000000001</v>
      </c>
      <c r="L1302" s="382" t="s">
        <v>21</v>
      </c>
      <c r="M1302" s="30"/>
      <c r="N1302" s="30">
        <v>20.440000000000001</v>
      </c>
      <c r="O1302" s="287">
        <f t="shared" si="367"/>
        <v>0</v>
      </c>
      <c r="P1302" s="287">
        <f t="shared" si="368"/>
        <v>0</v>
      </c>
      <c r="Q1302" s="288"/>
      <c r="R1302" s="243"/>
      <c r="S1302" s="378" t="str">
        <f t="shared" si="365"/>
        <v/>
      </c>
      <c r="U1302" s="722"/>
    </row>
    <row r="1303" spans="2:21" ht="25.5" hidden="1" x14ac:dyDescent="0.2">
      <c r="B1303" s="595">
        <v>93658</v>
      </c>
      <c r="C1303" s="596" t="s">
        <v>817</v>
      </c>
      <c r="D1303" s="597" t="s">
        <v>1396</v>
      </c>
      <c r="E1303" s="589"/>
      <c r="F1303" s="590"/>
      <c r="G1303" s="591"/>
      <c r="H1303" s="592"/>
      <c r="I1303" s="631">
        <v>23.39</v>
      </c>
      <c r="J1303" s="631">
        <f t="shared" si="369"/>
        <v>23.39</v>
      </c>
      <c r="K1303" s="593">
        <f t="shared" si="334"/>
        <v>29.65</v>
      </c>
      <c r="L1303" s="382" t="s">
        <v>21</v>
      </c>
      <c r="M1303" s="30"/>
      <c r="N1303" s="30">
        <v>29.65</v>
      </c>
      <c r="O1303" s="287">
        <f t="shared" si="335"/>
        <v>0</v>
      </c>
      <c r="P1303" s="287">
        <f t="shared" si="336"/>
        <v>0</v>
      </c>
      <c r="Q1303" s="288"/>
      <c r="R1303" s="243"/>
      <c r="S1303" s="378" t="str">
        <f t="shared" si="365"/>
        <v/>
      </c>
      <c r="U1303" s="722"/>
    </row>
    <row r="1304" spans="2:21" ht="25.5" hidden="1" x14ac:dyDescent="0.2">
      <c r="B1304" s="595">
        <v>93659</v>
      </c>
      <c r="C1304" s="596" t="s">
        <v>817</v>
      </c>
      <c r="D1304" s="597" t="s">
        <v>1397</v>
      </c>
      <c r="E1304" s="589"/>
      <c r="F1304" s="590"/>
      <c r="G1304" s="591"/>
      <c r="H1304" s="592"/>
      <c r="I1304" s="631">
        <v>26.4</v>
      </c>
      <c r="J1304" s="631">
        <f t="shared" si="369"/>
        <v>26.4</v>
      </c>
      <c r="K1304" s="593">
        <f t="shared" si="334"/>
        <v>33.46</v>
      </c>
      <c r="L1304" s="382" t="s">
        <v>21</v>
      </c>
      <c r="M1304" s="30"/>
      <c r="N1304" s="30">
        <v>33.46</v>
      </c>
      <c r="O1304" s="287">
        <f t="shared" si="335"/>
        <v>0</v>
      </c>
      <c r="P1304" s="287">
        <f t="shared" si="336"/>
        <v>0</v>
      </c>
      <c r="Q1304" s="288"/>
      <c r="R1304" s="243"/>
      <c r="S1304" s="378" t="str">
        <f t="shared" si="365"/>
        <v/>
      </c>
      <c r="U1304" s="722"/>
    </row>
    <row r="1305" spans="2:21" ht="25.5" hidden="1" x14ac:dyDescent="0.2">
      <c r="B1305" s="595">
        <v>101890</v>
      </c>
      <c r="C1305" s="596" t="s">
        <v>817</v>
      </c>
      <c r="D1305" s="597" t="s">
        <v>1398</v>
      </c>
      <c r="E1305" s="589"/>
      <c r="F1305" s="590"/>
      <c r="G1305" s="591"/>
      <c r="H1305" s="592"/>
      <c r="I1305" s="631">
        <v>17.66</v>
      </c>
      <c r="J1305" s="631">
        <f t="shared" si="369"/>
        <v>17.66</v>
      </c>
      <c r="K1305" s="593">
        <f t="shared" si="334"/>
        <v>22.38</v>
      </c>
      <c r="L1305" s="382" t="s">
        <v>21</v>
      </c>
      <c r="M1305" s="30"/>
      <c r="N1305" s="30">
        <v>22.38</v>
      </c>
      <c r="O1305" s="287">
        <f t="shared" si="335"/>
        <v>0</v>
      </c>
      <c r="P1305" s="287">
        <f t="shared" si="336"/>
        <v>0</v>
      </c>
      <c r="Q1305" s="288"/>
      <c r="R1305" s="243"/>
      <c r="S1305" s="378" t="str">
        <f t="shared" si="365"/>
        <v/>
      </c>
      <c r="U1305" s="722"/>
    </row>
    <row r="1306" spans="2:21" ht="25.5" hidden="1" x14ac:dyDescent="0.2">
      <c r="B1306" s="595">
        <v>101891</v>
      </c>
      <c r="C1306" s="596" t="s">
        <v>817</v>
      </c>
      <c r="D1306" s="597" t="s">
        <v>1399</v>
      </c>
      <c r="E1306" s="589"/>
      <c r="F1306" s="590"/>
      <c r="G1306" s="591"/>
      <c r="H1306" s="592"/>
      <c r="I1306" s="631">
        <v>30.4</v>
      </c>
      <c r="J1306" s="631">
        <f t="shared" si="369"/>
        <v>30.4</v>
      </c>
      <c r="K1306" s="593">
        <f t="shared" si="334"/>
        <v>38.53</v>
      </c>
      <c r="L1306" s="382" t="s">
        <v>21</v>
      </c>
      <c r="M1306" s="30"/>
      <c r="N1306" s="30">
        <v>38.53</v>
      </c>
      <c r="O1306" s="287">
        <f t="shared" si="335"/>
        <v>0</v>
      </c>
      <c r="P1306" s="287">
        <f t="shared" si="336"/>
        <v>0</v>
      </c>
      <c r="Q1306" s="288"/>
      <c r="R1306" s="243"/>
      <c r="S1306" s="378" t="str">
        <f t="shared" si="365"/>
        <v/>
      </c>
      <c r="U1306" s="722"/>
    </row>
    <row r="1307" spans="2:21" ht="25.5" hidden="1" x14ac:dyDescent="0.2">
      <c r="B1307" s="595">
        <v>93660</v>
      </c>
      <c r="C1307" s="596" t="s">
        <v>817</v>
      </c>
      <c r="D1307" s="597" t="s">
        <v>1400</v>
      </c>
      <c r="E1307" s="589"/>
      <c r="F1307" s="590"/>
      <c r="G1307" s="591"/>
      <c r="H1307" s="592"/>
      <c r="I1307" s="631">
        <v>63.59</v>
      </c>
      <c r="J1307" s="631">
        <f t="shared" si="369"/>
        <v>63.59</v>
      </c>
      <c r="K1307" s="593">
        <f t="shared" si="334"/>
        <v>80.599999999999994</v>
      </c>
      <c r="L1307" s="382" t="s">
        <v>21</v>
      </c>
      <c r="M1307" s="30"/>
      <c r="N1307" s="30">
        <v>80.599999999999994</v>
      </c>
      <c r="O1307" s="287">
        <f t="shared" si="335"/>
        <v>0</v>
      </c>
      <c r="P1307" s="287">
        <f t="shared" si="336"/>
        <v>0</v>
      </c>
      <c r="Q1307" s="288"/>
      <c r="R1307" s="243"/>
      <c r="S1307" s="378" t="str">
        <f t="shared" si="365"/>
        <v/>
      </c>
      <c r="U1307" s="722"/>
    </row>
    <row r="1308" spans="2:21" ht="25.5" hidden="1" x14ac:dyDescent="0.2">
      <c r="B1308" s="595">
        <v>93661</v>
      </c>
      <c r="C1308" s="596" t="s">
        <v>817</v>
      </c>
      <c r="D1308" s="597" t="s">
        <v>1401</v>
      </c>
      <c r="E1308" s="589"/>
      <c r="F1308" s="590"/>
      <c r="G1308" s="591"/>
      <c r="H1308" s="592"/>
      <c r="I1308" s="631">
        <v>64.86</v>
      </c>
      <c r="J1308" s="631">
        <f t="shared" si="369"/>
        <v>64.86</v>
      </c>
      <c r="K1308" s="593">
        <f t="shared" si="334"/>
        <v>82.21</v>
      </c>
      <c r="L1308" s="382" t="s">
        <v>21</v>
      </c>
      <c r="M1308" s="30"/>
      <c r="N1308" s="30">
        <v>82.21</v>
      </c>
      <c r="O1308" s="287">
        <f t="shared" si="335"/>
        <v>0</v>
      </c>
      <c r="P1308" s="287">
        <f t="shared" si="336"/>
        <v>0</v>
      </c>
      <c r="Q1308" s="288"/>
      <c r="R1308" s="243"/>
      <c r="S1308" s="378" t="str">
        <f t="shared" si="365"/>
        <v/>
      </c>
      <c r="U1308" s="722"/>
    </row>
    <row r="1309" spans="2:21" ht="25.5" hidden="1" x14ac:dyDescent="0.2">
      <c r="B1309" s="595">
        <v>93662</v>
      </c>
      <c r="C1309" s="596" t="s">
        <v>817</v>
      </c>
      <c r="D1309" s="597" t="s">
        <v>1402</v>
      </c>
      <c r="E1309" s="589"/>
      <c r="F1309" s="590"/>
      <c r="G1309" s="591"/>
      <c r="H1309" s="592"/>
      <c r="I1309" s="631">
        <v>67.28</v>
      </c>
      <c r="J1309" s="631">
        <f t="shared" si="369"/>
        <v>67.28</v>
      </c>
      <c r="K1309" s="593">
        <f t="shared" si="334"/>
        <v>85.28</v>
      </c>
      <c r="L1309" s="382" t="s">
        <v>21</v>
      </c>
      <c r="M1309" s="30"/>
      <c r="N1309" s="30">
        <v>85.28</v>
      </c>
      <c r="O1309" s="287">
        <f t="shared" si="335"/>
        <v>0</v>
      </c>
      <c r="P1309" s="287">
        <f t="shared" si="336"/>
        <v>0</v>
      </c>
      <c r="Q1309" s="288"/>
      <c r="R1309" s="243"/>
      <c r="S1309" s="378" t="str">
        <f t="shared" si="365"/>
        <v/>
      </c>
      <c r="U1309" s="722"/>
    </row>
    <row r="1310" spans="2:21" ht="25.5" hidden="1" x14ac:dyDescent="0.2">
      <c r="B1310" s="595">
        <v>93663</v>
      </c>
      <c r="C1310" s="596" t="s">
        <v>817</v>
      </c>
      <c r="D1310" s="597" t="s">
        <v>1403</v>
      </c>
      <c r="E1310" s="589"/>
      <c r="F1310" s="590"/>
      <c r="G1310" s="591"/>
      <c r="H1310" s="592"/>
      <c r="I1310" s="631">
        <v>67.28</v>
      </c>
      <c r="J1310" s="631">
        <f t="shared" si="369"/>
        <v>67.28</v>
      </c>
      <c r="K1310" s="593">
        <f t="shared" si="334"/>
        <v>85.28</v>
      </c>
      <c r="L1310" s="382" t="s">
        <v>21</v>
      </c>
      <c r="M1310" s="30"/>
      <c r="N1310" s="30">
        <v>85.28</v>
      </c>
      <c r="O1310" s="287">
        <f t="shared" si="335"/>
        <v>0</v>
      </c>
      <c r="P1310" s="287">
        <f t="shared" si="336"/>
        <v>0</v>
      </c>
      <c r="Q1310" s="288"/>
      <c r="R1310" s="243"/>
      <c r="S1310" s="378" t="str">
        <f t="shared" si="365"/>
        <v/>
      </c>
      <c r="U1310" s="722"/>
    </row>
    <row r="1311" spans="2:21" ht="25.5" hidden="1" x14ac:dyDescent="0.2">
      <c r="B1311" s="595">
        <v>93664</v>
      </c>
      <c r="C1311" s="596" t="s">
        <v>817</v>
      </c>
      <c r="D1311" s="597" t="s">
        <v>1404</v>
      </c>
      <c r="E1311" s="589"/>
      <c r="F1311" s="590"/>
      <c r="G1311" s="591"/>
      <c r="H1311" s="592"/>
      <c r="I1311" s="631">
        <v>70.22</v>
      </c>
      <c r="J1311" s="631">
        <f t="shared" si="369"/>
        <v>70.22</v>
      </c>
      <c r="K1311" s="593">
        <f t="shared" si="334"/>
        <v>89</v>
      </c>
      <c r="L1311" s="382" t="s">
        <v>21</v>
      </c>
      <c r="M1311" s="30"/>
      <c r="N1311" s="30">
        <v>89</v>
      </c>
      <c r="O1311" s="287">
        <f t="shared" si="335"/>
        <v>0</v>
      </c>
      <c r="P1311" s="287">
        <f t="shared" si="336"/>
        <v>0</v>
      </c>
      <c r="Q1311" s="288"/>
      <c r="R1311" s="243"/>
      <c r="S1311" s="378" t="str">
        <f t="shared" si="365"/>
        <v/>
      </c>
      <c r="U1311" s="722"/>
    </row>
    <row r="1312" spans="2:21" ht="25.5" hidden="1" x14ac:dyDescent="0.2">
      <c r="B1312" s="595">
        <v>93665</v>
      </c>
      <c r="C1312" s="596" t="s">
        <v>817</v>
      </c>
      <c r="D1312" s="597" t="s">
        <v>1405</v>
      </c>
      <c r="E1312" s="589"/>
      <c r="F1312" s="590"/>
      <c r="G1312" s="591"/>
      <c r="H1312" s="592"/>
      <c r="I1312" s="631">
        <v>74.02</v>
      </c>
      <c r="J1312" s="631">
        <f t="shared" si="369"/>
        <v>74.02</v>
      </c>
      <c r="K1312" s="593">
        <f t="shared" si="334"/>
        <v>93.82</v>
      </c>
      <c r="L1312" s="382" t="s">
        <v>21</v>
      </c>
      <c r="M1312" s="30"/>
      <c r="N1312" s="30">
        <v>93.82</v>
      </c>
      <c r="O1312" s="287">
        <f t="shared" si="335"/>
        <v>0</v>
      </c>
      <c r="P1312" s="287">
        <f t="shared" si="336"/>
        <v>0</v>
      </c>
      <c r="Q1312" s="288"/>
      <c r="R1312" s="243"/>
      <c r="S1312" s="378" t="str">
        <f t="shared" si="365"/>
        <v/>
      </c>
      <c r="U1312" s="722"/>
    </row>
    <row r="1313" spans="2:21" ht="25.5" hidden="1" x14ac:dyDescent="0.2">
      <c r="B1313" s="595">
        <v>93666</v>
      </c>
      <c r="C1313" s="596" t="s">
        <v>817</v>
      </c>
      <c r="D1313" s="597" t="s">
        <v>1406</v>
      </c>
      <c r="E1313" s="589"/>
      <c r="F1313" s="590"/>
      <c r="G1313" s="591"/>
      <c r="H1313" s="592"/>
      <c r="I1313" s="631">
        <v>80.05</v>
      </c>
      <c r="J1313" s="631">
        <f t="shared" si="369"/>
        <v>80.05</v>
      </c>
      <c r="K1313" s="593">
        <f t="shared" si="334"/>
        <v>101.46</v>
      </c>
      <c r="L1313" s="382" t="s">
        <v>21</v>
      </c>
      <c r="M1313" s="30"/>
      <c r="N1313" s="30">
        <v>101.46</v>
      </c>
      <c r="O1313" s="287">
        <f t="shared" si="335"/>
        <v>0</v>
      </c>
      <c r="P1313" s="287">
        <f t="shared" si="336"/>
        <v>0</v>
      </c>
      <c r="Q1313" s="288"/>
      <c r="R1313" s="243"/>
      <c r="S1313" s="378" t="str">
        <f t="shared" si="365"/>
        <v/>
      </c>
      <c r="U1313" s="722"/>
    </row>
    <row r="1314" spans="2:21" ht="25.5" hidden="1" x14ac:dyDescent="0.2">
      <c r="B1314" s="595">
        <v>101892</v>
      </c>
      <c r="C1314" s="596" t="s">
        <v>817</v>
      </c>
      <c r="D1314" s="597" t="s">
        <v>1407</v>
      </c>
      <c r="E1314" s="589"/>
      <c r="F1314" s="590"/>
      <c r="G1314" s="591"/>
      <c r="H1314" s="592"/>
      <c r="I1314" s="631">
        <v>79.87</v>
      </c>
      <c r="J1314" s="631">
        <f t="shared" si="369"/>
        <v>79.87</v>
      </c>
      <c r="K1314" s="593">
        <f t="shared" si="334"/>
        <v>101.24</v>
      </c>
      <c r="L1314" s="382" t="s">
        <v>21</v>
      </c>
      <c r="M1314" s="30"/>
      <c r="N1314" s="30">
        <v>101.24</v>
      </c>
      <c r="O1314" s="287">
        <f t="shared" si="335"/>
        <v>0</v>
      </c>
      <c r="P1314" s="287">
        <f t="shared" si="336"/>
        <v>0</v>
      </c>
      <c r="Q1314" s="288"/>
      <c r="R1314" s="243"/>
      <c r="S1314" s="378" t="str">
        <f t="shared" si="365"/>
        <v/>
      </c>
      <c r="U1314" s="722"/>
    </row>
    <row r="1315" spans="2:21" ht="25.5" hidden="1" x14ac:dyDescent="0.2">
      <c r="B1315" s="595">
        <v>93667</v>
      </c>
      <c r="C1315" s="596" t="s">
        <v>817</v>
      </c>
      <c r="D1315" s="597" t="s">
        <v>1408</v>
      </c>
      <c r="E1315" s="589"/>
      <c r="F1315" s="590"/>
      <c r="G1315" s="591"/>
      <c r="H1315" s="592"/>
      <c r="I1315" s="631">
        <v>79.37</v>
      </c>
      <c r="J1315" s="631">
        <f t="shared" si="369"/>
        <v>79.37</v>
      </c>
      <c r="K1315" s="593">
        <f t="shared" si="334"/>
        <v>100.6</v>
      </c>
      <c r="L1315" s="382" t="s">
        <v>21</v>
      </c>
      <c r="M1315" s="30"/>
      <c r="N1315" s="30">
        <v>100.6</v>
      </c>
      <c r="O1315" s="287">
        <f t="shared" si="335"/>
        <v>0</v>
      </c>
      <c r="P1315" s="287">
        <f t="shared" si="336"/>
        <v>0</v>
      </c>
      <c r="Q1315" s="288"/>
      <c r="R1315" s="243"/>
      <c r="S1315" s="378" t="str">
        <f t="shared" si="365"/>
        <v/>
      </c>
      <c r="U1315" s="722"/>
    </row>
    <row r="1316" spans="2:21" ht="25.5" hidden="1" x14ac:dyDescent="0.2">
      <c r="B1316" s="595">
        <v>93668</v>
      </c>
      <c r="C1316" s="596" t="s">
        <v>817</v>
      </c>
      <c r="D1316" s="597" t="s">
        <v>1409</v>
      </c>
      <c r="E1316" s="589"/>
      <c r="F1316" s="590"/>
      <c r="G1316" s="591"/>
      <c r="H1316" s="592"/>
      <c r="I1316" s="631">
        <v>81.27</v>
      </c>
      <c r="J1316" s="631">
        <f t="shared" si="369"/>
        <v>81.27</v>
      </c>
      <c r="K1316" s="593">
        <f t="shared" si="334"/>
        <v>103.01</v>
      </c>
      <c r="L1316" s="382" t="s">
        <v>21</v>
      </c>
      <c r="M1316" s="30"/>
      <c r="N1316" s="30">
        <v>103.01</v>
      </c>
      <c r="O1316" s="287">
        <f t="shared" si="335"/>
        <v>0</v>
      </c>
      <c r="P1316" s="287">
        <f t="shared" si="336"/>
        <v>0</v>
      </c>
      <c r="Q1316" s="288"/>
      <c r="R1316" s="243"/>
      <c r="S1316" s="378" t="str">
        <f t="shared" si="365"/>
        <v/>
      </c>
      <c r="U1316" s="722"/>
    </row>
    <row r="1317" spans="2:21" ht="25.5" hidden="1" x14ac:dyDescent="0.2">
      <c r="B1317" s="595">
        <v>93669</v>
      </c>
      <c r="C1317" s="596" t="s">
        <v>817</v>
      </c>
      <c r="D1317" s="597" t="s">
        <v>1410</v>
      </c>
      <c r="E1317" s="589"/>
      <c r="F1317" s="590"/>
      <c r="G1317" s="591"/>
      <c r="H1317" s="592"/>
      <c r="I1317" s="631">
        <v>84.9</v>
      </c>
      <c r="J1317" s="631">
        <f t="shared" si="369"/>
        <v>84.9</v>
      </c>
      <c r="K1317" s="593">
        <f t="shared" si="334"/>
        <v>107.61</v>
      </c>
      <c r="L1317" s="382" t="s">
        <v>21</v>
      </c>
      <c r="M1317" s="30"/>
      <c r="N1317" s="30">
        <v>107.61</v>
      </c>
      <c r="O1317" s="287">
        <f t="shared" si="335"/>
        <v>0</v>
      </c>
      <c r="P1317" s="287">
        <f t="shared" si="336"/>
        <v>0</v>
      </c>
      <c r="Q1317" s="288"/>
      <c r="R1317" s="243"/>
      <c r="S1317" s="378" t="str">
        <f t="shared" si="365"/>
        <v/>
      </c>
      <c r="U1317" s="722"/>
    </row>
    <row r="1318" spans="2:21" ht="25.5" hidden="1" x14ac:dyDescent="0.2">
      <c r="B1318" s="595">
        <v>93670</v>
      </c>
      <c r="C1318" s="596" t="s">
        <v>817</v>
      </c>
      <c r="D1318" s="597" t="s">
        <v>1411</v>
      </c>
      <c r="E1318" s="589"/>
      <c r="F1318" s="590"/>
      <c r="G1318" s="591"/>
      <c r="H1318" s="592"/>
      <c r="I1318" s="631">
        <v>84.9</v>
      </c>
      <c r="J1318" s="631">
        <f t="shared" si="369"/>
        <v>84.9</v>
      </c>
      <c r="K1318" s="593">
        <f t="shared" ref="K1318:K1326" si="370">IF(ISBLANK(I1318),0,ROUND(J1318*(1+$F$10)*(1+$F$11*E1318),2))</f>
        <v>107.61</v>
      </c>
      <c r="L1318" s="382" t="s">
        <v>21</v>
      </c>
      <c r="M1318" s="30"/>
      <c r="N1318" s="30">
        <v>107.61</v>
      </c>
      <c r="O1318" s="287">
        <f t="shared" ref="O1318:O1326" si="371">IF(ISBLANK(M1318),0,ROUND(K1318*M1318,2))</f>
        <v>0</v>
      </c>
      <c r="P1318" s="287">
        <f t="shared" ref="P1318:P1326" si="372">IF(ISBLANK(N1318),0,ROUND(M1318*N1318,2))</f>
        <v>0</v>
      </c>
      <c r="Q1318" s="288"/>
      <c r="R1318" s="243"/>
      <c r="S1318" s="378" t="str">
        <f t="shared" si="365"/>
        <v/>
      </c>
      <c r="U1318" s="722"/>
    </row>
    <row r="1319" spans="2:21" ht="25.5" hidden="1" x14ac:dyDescent="0.2">
      <c r="B1319" s="595">
        <v>93671</v>
      </c>
      <c r="C1319" s="596" t="s">
        <v>817</v>
      </c>
      <c r="D1319" s="597" t="s">
        <v>1412</v>
      </c>
      <c r="E1319" s="589"/>
      <c r="F1319" s="590"/>
      <c r="G1319" s="591"/>
      <c r="H1319" s="592"/>
      <c r="I1319" s="631">
        <v>89.32</v>
      </c>
      <c r="J1319" s="631">
        <f t="shared" si="369"/>
        <v>89.32</v>
      </c>
      <c r="K1319" s="593">
        <f t="shared" si="370"/>
        <v>113.21</v>
      </c>
      <c r="L1319" s="382" t="s">
        <v>21</v>
      </c>
      <c r="M1319" s="30"/>
      <c r="N1319" s="30">
        <v>113.21</v>
      </c>
      <c r="O1319" s="287">
        <f t="shared" si="371"/>
        <v>0</v>
      </c>
      <c r="P1319" s="287">
        <f t="shared" si="372"/>
        <v>0</v>
      </c>
      <c r="Q1319" s="288"/>
      <c r="R1319" s="243"/>
      <c r="S1319" s="378" t="str">
        <f t="shared" si="365"/>
        <v/>
      </c>
      <c r="U1319" s="722"/>
    </row>
    <row r="1320" spans="2:21" ht="25.5" hidden="1" x14ac:dyDescent="0.2">
      <c r="B1320" s="595">
        <v>93672</v>
      </c>
      <c r="C1320" s="596" t="s">
        <v>817</v>
      </c>
      <c r="D1320" s="597" t="s">
        <v>1413</v>
      </c>
      <c r="E1320" s="589"/>
      <c r="F1320" s="590"/>
      <c r="G1320" s="591"/>
      <c r="H1320" s="592"/>
      <c r="I1320" s="631">
        <v>96.37</v>
      </c>
      <c r="J1320" s="631">
        <f t="shared" si="369"/>
        <v>96.37</v>
      </c>
      <c r="K1320" s="593">
        <f t="shared" si="370"/>
        <v>122.15</v>
      </c>
      <c r="L1320" s="382" t="s">
        <v>21</v>
      </c>
      <c r="M1320" s="30"/>
      <c r="N1320" s="30">
        <v>122.15</v>
      </c>
      <c r="O1320" s="287">
        <f t="shared" si="371"/>
        <v>0</v>
      </c>
      <c r="P1320" s="287">
        <f t="shared" si="372"/>
        <v>0</v>
      </c>
      <c r="Q1320" s="288"/>
      <c r="R1320" s="243"/>
      <c r="S1320" s="378" t="str">
        <f t="shared" si="365"/>
        <v/>
      </c>
      <c r="U1320" s="722"/>
    </row>
    <row r="1321" spans="2:21" ht="25.5" hidden="1" x14ac:dyDescent="0.2">
      <c r="B1321" s="595">
        <v>93673</v>
      </c>
      <c r="C1321" s="596" t="s">
        <v>817</v>
      </c>
      <c r="D1321" s="597" t="s">
        <v>1414</v>
      </c>
      <c r="E1321" s="589"/>
      <c r="F1321" s="590"/>
      <c r="G1321" s="591"/>
      <c r="H1321" s="592"/>
      <c r="I1321" s="631">
        <v>105.41</v>
      </c>
      <c r="J1321" s="631">
        <f t="shared" si="369"/>
        <v>105.41</v>
      </c>
      <c r="K1321" s="593">
        <f t="shared" si="370"/>
        <v>133.61000000000001</v>
      </c>
      <c r="L1321" s="382" t="s">
        <v>21</v>
      </c>
      <c r="M1321" s="30"/>
      <c r="N1321" s="30">
        <v>133.61000000000001</v>
      </c>
      <c r="O1321" s="287">
        <f t="shared" si="371"/>
        <v>0</v>
      </c>
      <c r="P1321" s="287">
        <f t="shared" si="372"/>
        <v>0</v>
      </c>
      <c r="Q1321" s="288"/>
      <c r="R1321" s="243"/>
      <c r="S1321" s="378" t="str">
        <f t="shared" si="365"/>
        <v/>
      </c>
      <c r="U1321" s="722"/>
    </row>
    <row r="1322" spans="2:21" ht="25.5" hidden="1" x14ac:dyDescent="0.2">
      <c r="B1322" s="595">
        <v>101893</v>
      </c>
      <c r="C1322" s="596" t="s">
        <v>817</v>
      </c>
      <c r="D1322" s="597" t="s">
        <v>1415</v>
      </c>
      <c r="E1322" s="589"/>
      <c r="F1322" s="590"/>
      <c r="G1322" s="591"/>
      <c r="H1322" s="592"/>
      <c r="I1322" s="631">
        <v>101.9</v>
      </c>
      <c r="J1322" s="631">
        <f t="shared" si="369"/>
        <v>101.9</v>
      </c>
      <c r="K1322" s="593">
        <f t="shared" si="370"/>
        <v>129.16</v>
      </c>
      <c r="L1322" s="382" t="s">
        <v>21</v>
      </c>
      <c r="M1322" s="30"/>
      <c r="N1322" s="30">
        <v>129.16</v>
      </c>
      <c r="O1322" s="287">
        <f t="shared" si="371"/>
        <v>0</v>
      </c>
      <c r="P1322" s="287">
        <f t="shared" si="372"/>
        <v>0</v>
      </c>
      <c r="Q1322" s="288"/>
      <c r="R1322" s="243"/>
      <c r="S1322" s="378" t="str">
        <f t="shared" si="365"/>
        <v/>
      </c>
      <c r="U1322" s="722"/>
    </row>
    <row r="1323" spans="2:21" ht="25.5" hidden="1" x14ac:dyDescent="0.2">
      <c r="B1323" s="595">
        <v>101894</v>
      </c>
      <c r="C1323" s="596" t="s">
        <v>817</v>
      </c>
      <c r="D1323" s="597" t="s">
        <v>1416</v>
      </c>
      <c r="E1323" s="589"/>
      <c r="F1323" s="590"/>
      <c r="G1323" s="591"/>
      <c r="H1323" s="592"/>
      <c r="I1323" s="631">
        <v>171.51</v>
      </c>
      <c r="J1323" s="631">
        <f t="shared" si="369"/>
        <v>171.51</v>
      </c>
      <c r="K1323" s="593">
        <f t="shared" si="370"/>
        <v>217.39</v>
      </c>
      <c r="L1323" s="382" t="s">
        <v>21</v>
      </c>
      <c r="M1323" s="30"/>
      <c r="N1323" s="30">
        <v>217.39</v>
      </c>
      <c r="O1323" s="287">
        <f t="shared" si="371"/>
        <v>0</v>
      </c>
      <c r="P1323" s="287">
        <f t="shared" si="372"/>
        <v>0</v>
      </c>
      <c r="Q1323" s="288"/>
      <c r="R1323" s="243"/>
      <c r="S1323" s="378" t="str">
        <f t="shared" si="365"/>
        <v/>
      </c>
      <c r="U1323" s="722"/>
    </row>
    <row r="1324" spans="2:21" ht="25.5" hidden="1" x14ac:dyDescent="0.2">
      <c r="B1324" s="595">
        <v>101663</v>
      </c>
      <c r="C1324" s="596" t="s">
        <v>817</v>
      </c>
      <c r="D1324" s="597" t="s">
        <v>1417</v>
      </c>
      <c r="E1324" s="589"/>
      <c r="F1324" s="590"/>
      <c r="G1324" s="591"/>
      <c r="H1324" s="592"/>
      <c r="I1324" s="631">
        <v>26.54</v>
      </c>
      <c r="J1324" s="631">
        <f t="shared" si="369"/>
        <v>26.54</v>
      </c>
      <c r="K1324" s="593">
        <f t="shared" si="370"/>
        <v>33.64</v>
      </c>
      <c r="L1324" s="382" t="s">
        <v>21</v>
      </c>
      <c r="M1324" s="30"/>
      <c r="N1324" s="30">
        <v>33.64</v>
      </c>
      <c r="O1324" s="287">
        <f t="shared" si="371"/>
        <v>0</v>
      </c>
      <c r="P1324" s="287">
        <f t="shared" si="372"/>
        <v>0</v>
      </c>
      <c r="Q1324" s="288"/>
      <c r="R1324" s="243"/>
      <c r="S1324" s="378" t="str">
        <f t="shared" si="365"/>
        <v/>
      </c>
      <c r="U1324" s="722"/>
    </row>
    <row r="1325" spans="2:21" ht="25.5" hidden="1" x14ac:dyDescent="0.2">
      <c r="B1325" s="595">
        <v>101664</v>
      </c>
      <c r="C1325" s="596" t="s">
        <v>817</v>
      </c>
      <c r="D1325" s="597" t="s">
        <v>1418</v>
      </c>
      <c r="E1325" s="589"/>
      <c r="F1325" s="590"/>
      <c r="G1325" s="591"/>
      <c r="H1325" s="592"/>
      <c r="I1325" s="631">
        <v>27.68</v>
      </c>
      <c r="J1325" s="631">
        <f t="shared" si="369"/>
        <v>27.68</v>
      </c>
      <c r="K1325" s="593">
        <f t="shared" si="370"/>
        <v>35.08</v>
      </c>
      <c r="L1325" s="382" t="s">
        <v>21</v>
      </c>
      <c r="M1325" s="30"/>
      <c r="N1325" s="30">
        <v>35.08</v>
      </c>
      <c r="O1325" s="287">
        <f t="shared" si="371"/>
        <v>0</v>
      </c>
      <c r="P1325" s="287">
        <f t="shared" si="372"/>
        <v>0</v>
      </c>
      <c r="Q1325" s="288"/>
      <c r="R1325" s="243"/>
      <c r="S1325" s="378" t="str">
        <f t="shared" si="365"/>
        <v/>
      </c>
      <c r="U1325" s="722"/>
    </row>
    <row r="1326" spans="2:21" ht="25.5" hidden="1" x14ac:dyDescent="0.2">
      <c r="B1326" s="595">
        <v>101665</v>
      </c>
      <c r="C1326" s="596" t="s">
        <v>817</v>
      </c>
      <c r="D1326" s="597" t="s">
        <v>1419</v>
      </c>
      <c r="E1326" s="589"/>
      <c r="F1326" s="590"/>
      <c r="G1326" s="591"/>
      <c r="H1326" s="592"/>
      <c r="I1326" s="631">
        <v>32.619999999999997</v>
      </c>
      <c r="J1326" s="631">
        <f t="shared" si="369"/>
        <v>32.619999999999997</v>
      </c>
      <c r="K1326" s="593">
        <f t="shared" si="370"/>
        <v>41.35</v>
      </c>
      <c r="L1326" s="382" t="s">
        <v>21</v>
      </c>
      <c r="M1326" s="30"/>
      <c r="N1326" s="30">
        <v>41.35</v>
      </c>
      <c r="O1326" s="287">
        <f t="shared" si="371"/>
        <v>0</v>
      </c>
      <c r="P1326" s="287">
        <f t="shared" si="372"/>
        <v>0</v>
      </c>
      <c r="Q1326" s="288"/>
      <c r="R1326" s="243"/>
      <c r="S1326" s="378" t="str">
        <f t="shared" si="365"/>
        <v/>
      </c>
      <c r="U1326" s="722"/>
    </row>
    <row r="1327" spans="2:21" ht="25.5" hidden="1" x14ac:dyDescent="0.2">
      <c r="B1327" s="595">
        <v>101895</v>
      </c>
      <c r="C1327" s="596" t="s">
        <v>817</v>
      </c>
      <c r="D1327" s="597" t="s">
        <v>1420</v>
      </c>
      <c r="E1327" s="589"/>
      <c r="F1327" s="590"/>
      <c r="G1327" s="591"/>
      <c r="H1327" s="592"/>
      <c r="I1327" s="631">
        <v>470.78</v>
      </c>
      <c r="J1327" s="631">
        <f t="shared" si="369"/>
        <v>470.78</v>
      </c>
      <c r="K1327" s="593">
        <f t="shared" ref="K1327:K1390" si="373">IF(ISBLANK(I1327),0,ROUND(J1327*(1+$F$10)*(1+$F$11*E1327),2))</f>
        <v>596.71</v>
      </c>
      <c r="L1327" s="382" t="s">
        <v>21</v>
      </c>
      <c r="M1327" s="30"/>
      <c r="N1327" s="30">
        <v>596.71</v>
      </c>
      <c r="O1327" s="287">
        <f t="shared" ref="O1327:O1390" si="374">IF(ISBLANK(M1327),0,ROUND(K1327*M1327,2))</f>
        <v>0</v>
      </c>
      <c r="P1327" s="287">
        <f t="shared" ref="P1327:P1390" si="375">IF(ISBLANK(N1327),0,ROUND(M1327*N1327,2))</f>
        <v>0</v>
      </c>
      <c r="Q1327" s="288"/>
      <c r="R1327" s="243"/>
      <c r="S1327" s="378" t="str">
        <f t="shared" si="365"/>
        <v/>
      </c>
      <c r="U1327" s="722"/>
    </row>
    <row r="1328" spans="2:21" ht="25.5" hidden="1" x14ac:dyDescent="0.2">
      <c r="B1328" s="595">
        <v>101896</v>
      </c>
      <c r="C1328" s="596" t="s">
        <v>817</v>
      </c>
      <c r="D1328" s="597" t="s">
        <v>1421</v>
      </c>
      <c r="E1328" s="589"/>
      <c r="F1328" s="590"/>
      <c r="G1328" s="591"/>
      <c r="H1328" s="592"/>
      <c r="I1328" s="631">
        <v>708.93</v>
      </c>
      <c r="J1328" s="631">
        <f t="shared" si="369"/>
        <v>708.93</v>
      </c>
      <c r="K1328" s="593">
        <f t="shared" si="373"/>
        <v>898.57</v>
      </c>
      <c r="L1328" s="382" t="s">
        <v>21</v>
      </c>
      <c r="M1328" s="30"/>
      <c r="N1328" s="30">
        <v>898.57</v>
      </c>
      <c r="O1328" s="287">
        <f t="shared" si="374"/>
        <v>0</v>
      </c>
      <c r="P1328" s="287">
        <f t="shared" si="375"/>
        <v>0</v>
      </c>
      <c r="Q1328" s="288"/>
      <c r="R1328" s="243"/>
      <c r="S1328" s="378" t="str">
        <f t="shared" si="365"/>
        <v/>
      </c>
      <c r="U1328" s="722"/>
    </row>
    <row r="1329" spans="2:21" ht="25.5" hidden="1" x14ac:dyDescent="0.2">
      <c r="B1329" s="595">
        <v>101897</v>
      </c>
      <c r="C1329" s="596" t="s">
        <v>817</v>
      </c>
      <c r="D1329" s="597" t="s">
        <v>1422</v>
      </c>
      <c r="E1329" s="589"/>
      <c r="F1329" s="590"/>
      <c r="G1329" s="591"/>
      <c r="H1329" s="592"/>
      <c r="I1329" s="631">
        <v>1136.08</v>
      </c>
      <c r="J1329" s="631">
        <f t="shared" si="369"/>
        <v>1136.08</v>
      </c>
      <c r="K1329" s="593">
        <f t="shared" si="373"/>
        <v>1439.98</v>
      </c>
      <c r="L1329" s="382" t="s">
        <v>21</v>
      </c>
      <c r="M1329" s="30"/>
      <c r="N1329" s="30">
        <v>1439.98</v>
      </c>
      <c r="O1329" s="287">
        <f t="shared" si="374"/>
        <v>0</v>
      </c>
      <c r="P1329" s="287">
        <f t="shared" si="375"/>
        <v>0</v>
      </c>
      <c r="Q1329" s="288"/>
      <c r="R1329" s="243"/>
      <c r="S1329" s="378" t="str">
        <f t="shared" si="365"/>
        <v/>
      </c>
      <c r="U1329" s="722"/>
    </row>
    <row r="1330" spans="2:21" ht="25.5" hidden="1" x14ac:dyDescent="0.2">
      <c r="B1330" s="595">
        <v>101898</v>
      </c>
      <c r="C1330" s="596" t="s">
        <v>817</v>
      </c>
      <c r="D1330" s="597" t="s">
        <v>1423</v>
      </c>
      <c r="E1330" s="589"/>
      <c r="F1330" s="590"/>
      <c r="G1330" s="591"/>
      <c r="H1330" s="592"/>
      <c r="I1330" s="631">
        <v>1524.13</v>
      </c>
      <c r="J1330" s="631">
        <f t="shared" si="369"/>
        <v>1524.13</v>
      </c>
      <c r="K1330" s="593">
        <f t="shared" si="373"/>
        <v>1931.83</v>
      </c>
      <c r="L1330" s="382" t="s">
        <v>21</v>
      </c>
      <c r="M1330" s="30"/>
      <c r="N1330" s="30">
        <v>1931.83</v>
      </c>
      <c r="O1330" s="287">
        <f t="shared" si="374"/>
        <v>0</v>
      </c>
      <c r="P1330" s="287">
        <f t="shared" si="375"/>
        <v>0</v>
      </c>
      <c r="Q1330" s="288"/>
      <c r="R1330" s="243"/>
      <c r="S1330" s="378" t="str">
        <f t="shared" si="365"/>
        <v/>
      </c>
      <c r="U1330" s="722"/>
    </row>
    <row r="1331" spans="2:21" ht="25.5" hidden="1" x14ac:dyDescent="0.2">
      <c r="B1331" s="595">
        <v>101899</v>
      </c>
      <c r="C1331" s="596" t="s">
        <v>817</v>
      </c>
      <c r="D1331" s="597" t="s">
        <v>1424</v>
      </c>
      <c r="E1331" s="589"/>
      <c r="F1331" s="590"/>
      <c r="G1331" s="591"/>
      <c r="H1331" s="592"/>
      <c r="I1331" s="631">
        <v>2447.16</v>
      </c>
      <c r="J1331" s="631">
        <f t="shared" si="369"/>
        <v>2447.16</v>
      </c>
      <c r="K1331" s="593">
        <f t="shared" si="373"/>
        <v>3101.78</v>
      </c>
      <c r="L1331" s="382" t="s">
        <v>21</v>
      </c>
      <c r="M1331" s="30"/>
      <c r="N1331" s="30">
        <v>3101.78</v>
      </c>
      <c r="O1331" s="287">
        <f t="shared" si="374"/>
        <v>0</v>
      </c>
      <c r="P1331" s="287">
        <f t="shared" si="375"/>
        <v>0</v>
      </c>
      <c r="Q1331" s="288"/>
      <c r="R1331" s="243"/>
      <c r="S1331" s="378" t="str">
        <f t="shared" si="365"/>
        <v/>
      </c>
      <c r="U1331" s="722"/>
    </row>
    <row r="1332" spans="2:21" hidden="1" x14ac:dyDescent="0.2">
      <c r="B1332" s="595">
        <v>101900</v>
      </c>
      <c r="C1332" s="596" t="s">
        <v>817</v>
      </c>
      <c r="D1332" s="597" t="s">
        <v>1425</v>
      </c>
      <c r="E1332" s="589"/>
      <c r="F1332" s="590"/>
      <c r="G1332" s="591"/>
      <c r="H1332" s="592"/>
      <c r="I1332" s="631">
        <v>5120.6400000000003</v>
      </c>
      <c r="J1332" s="631">
        <f t="shared" si="369"/>
        <v>5120.6400000000003</v>
      </c>
      <c r="K1332" s="593">
        <f t="shared" si="373"/>
        <v>6490.41</v>
      </c>
      <c r="L1332" s="382" t="s">
        <v>21</v>
      </c>
      <c r="M1332" s="30"/>
      <c r="N1332" s="30">
        <v>6490.41</v>
      </c>
      <c r="O1332" s="287">
        <f t="shared" si="374"/>
        <v>0</v>
      </c>
      <c r="P1332" s="287">
        <f t="shared" si="375"/>
        <v>0</v>
      </c>
      <c r="Q1332" s="288"/>
      <c r="R1332" s="243"/>
      <c r="S1332" s="378" t="str">
        <f t="shared" si="365"/>
        <v/>
      </c>
      <c r="U1332" s="722"/>
    </row>
    <row r="1333" spans="2:21" ht="25.5" hidden="1" x14ac:dyDescent="0.2">
      <c r="B1333" s="595">
        <v>91952</v>
      </c>
      <c r="C1333" s="596" t="s">
        <v>817</v>
      </c>
      <c r="D1333" s="597" t="s">
        <v>1426</v>
      </c>
      <c r="E1333" s="589"/>
      <c r="F1333" s="590"/>
      <c r="G1333" s="591"/>
      <c r="H1333" s="592"/>
      <c r="I1333" s="631">
        <v>20.63</v>
      </c>
      <c r="J1333" s="631">
        <f t="shared" si="369"/>
        <v>20.63</v>
      </c>
      <c r="K1333" s="593">
        <f t="shared" si="373"/>
        <v>26.15</v>
      </c>
      <c r="L1333" s="382" t="s">
        <v>21</v>
      </c>
      <c r="M1333" s="30"/>
      <c r="N1333" s="30">
        <v>26.15</v>
      </c>
      <c r="O1333" s="287">
        <f t="shared" si="374"/>
        <v>0</v>
      </c>
      <c r="P1333" s="287">
        <f t="shared" si="375"/>
        <v>0</v>
      </c>
      <c r="Q1333" s="288"/>
      <c r="R1333" s="243"/>
      <c r="S1333" s="378" t="str">
        <f t="shared" ref="S1333:S1396" si="376">IF(R1333="x","x",IF(R1333="y","x",IF(R1333="xy","x",IF(P1333&gt;0,"x",""))))</f>
        <v/>
      </c>
      <c r="U1333" s="722"/>
    </row>
    <row r="1334" spans="2:21" ht="25.5" hidden="1" x14ac:dyDescent="0.2">
      <c r="B1334" s="595">
        <v>91953</v>
      </c>
      <c r="C1334" s="596" t="s">
        <v>817</v>
      </c>
      <c r="D1334" s="597" t="s">
        <v>1427</v>
      </c>
      <c r="E1334" s="589"/>
      <c r="F1334" s="590"/>
      <c r="G1334" s="591"/>
      <c r="H1334" s="592"/>
      <c r="I1334" s="631">
        <v>30.1</v>
      </c>
      <c r="J1334" s="631">
        <f t="shared" si="369"/>
        <v>30.1</v>
      </c>
      <c r="K1334" s="593">
        <f t="shared" si="373"/>
        <v>38.15</v>
      </c>
      <c r="L1334" s="382" t="s">
        <v>21</v>
      </c>
      <c r="M1334" s="30"/>
      <c r="N1334" s="30">
        <v>38.15</v>
      </c>
      <c r="O1334" s="287">
        <f t="shared" si="374"/>
        <v>0</v>
      </c>
      <c r="P1334" s="287">
        <f t="shared" si="375"/>
        <v>0</v>
      </c>
      <c r="Q1334" s="288"/>
      <c r="R1334" s="243"/>
      <c r="S1334" s="378" t="str">
        <f t="shared" si="376"/>
        <v/>
      </c>
      <c r="U1334" s="722"/>
    </row>
    <row r="1335" spans="2:21" ht="25.5" hidden="1" x14ac:dyDescent="0.2">
      <c r="B1335" s="595">
        <v>91956</v>
      </c>
      <c r="C1335" s="596" t="s">
        <v>817</v>
      </c>
      <c r="D1335" s="597" t="s">
        <v>1428</v>
      </c>
      <c r="E1335" s="589"/>
      <c r="F1335" s="590"/>
      <c r="G1335" s="591"/>
      <c r="H1335" s="592"/>
      <c r="I1335" s="631">
        <v>45.17</v>
      </c>
      <c r="J1335" s="631">
        <f t="shared" si="369"/>
        <v>45.17</v>
      </c>
      <c r="K1335" s="593">
        <f t="shared" si="373"/>
        <v>57.25</v>
      </c>
      <c r="L1335" s="382" t="s">
        <v>21</v>
      </c>
      <c r="M1335" s="30"/>
      <c r="N1335" s="30">
        <v>57.25</v>
      </c>
      <c r="O1335" s="287">
        <f t="shared" si="374"/>
        <v>0</v>
      </c>
      <c r="P1335" s="287">
        <f t="shared" si="375"/>
        <v>0</v>
      </c>
      <c r="Q1335" s="288"/>
      <c r="R1335" s="243"/>
      <c r="S1335" s="378" t="str">
        <f t="shared" si="376"/>
        <v/>
      </c>
      <c r="U1335" s="722"/>
    </row>
    <row r="1336" spans="2:21" ht="25.5" hidden="1" x14ac:dyDescent="0.2">
      <c r="B1336" s="595">
        <v>91957</v>
      </c>
      <c r="C1336" s="596" t="s">
        <v>817</v>
      </c>
      <c r="D1336" s="597" t="s">
        <v>1429</v>
      </c>
      <c r="E1336" s="589"/>
      <c r="F1336" s="590"/>
      <c r="G1336" s="591"/>
      <c r="H1336" s="592"/>
      <c r="I1336" s="631">
        <v>54.64</v>
      </c>
      <c r="J1336" s="631">
        <f t="shared" si="369"/>
        <v>54.64</v>
      </c>
      <c r="K1336" s="593">
        <f t="shared" si="373"/>
        <v>69.260000000000005</v>
      </c>
      <c r="L1336" s="382" t="s">
        <v>21</v>
      </c>
      <c r="M1336" s="30"/>
      <c r="N1336" s="30">
        <v>69.260000000000005</v>
      </c>
      <c r="O1336" s="287">
        <f t="shared" si="374"/>
        <v>0</v>
      </c>
      <c r="P1336" s="287">
        <f t="shared" si="375"/>
        <v>0</v>
      </c>
      <c r="Q1336" s="288"/>
      <c r="R1336" s="243"/>
      <c r="S1336" s="378" t="str">
        <f t="shared" si="376"/>
        <v/>
      </c>
      <c r="U1336" s="722"/>
    </row>
    <row r="1337" spans="2:21" ht="25.5" hidden="1" x14ac:dyDescent="0.2">
      <c r="B1337" s="595">
        <v>91958</v>
      </c>
      <c r="C1337" s="596" t="s">
        <v>817</v>
      </c>
      <c r="D1337" s="597" t="s">
        <v>1430</v>
      </c>
      <c r="E1337" s="589"/>
      <c r="F1337" s="590"/>
      <c r="G1337" s="591"/>
      <c r="H1337" s="592"/>
      <c r="I1337" s="631">
        <v>38.21</v>
      </c>
      <c r="J1337" s="631">
        <f t="shared" si="369"/>
        <v>38.21</v>
      </c>
      <c r="K1337" s="593">
        <f t="shared" si="373"/>
        <v>48.43</v>
      </c>
      <c r="L1337" s="382" t="s">
        <v>21</v>
      </c>
      <c r="M1337" s="30"/>
      <c r="N1337" s="30">
        <v>48.43</v>
      </c>
      <c r="O1337" s="287">
        <f t="shared" si="374"/>
        <v>0</v>
      </c>
      <c r="P1337" s="287">
        <f t="shared" si="375"/>
        <v>0</v>
      </c>
      <c r="Q1337" s="288"/>
      <c r="R1337" s="243"/>
      <c r="S1337" s="378" t="str">
        <f t="shared" si="376"/>
        <v/>
      </c>
      <c r="U1337" s="722"/>
    </row>
    <row r="1338" spans="2:21" ht="25.5" hidden="1" x14ac:dyDescent="0.2">
      <c r="B1338" s="595">
        <v>91959</v>
      </c>
      <c r="C1338" s="596" t="s">
        <v>817</v>
      </c>
      <c r="D1338" s="597" t="s">
        <v>1431</v>
      </c>
      <c r="E1338" s="589"/>
      <c r="F1338" s="590"/>
      <c r="G1338" s="591"/>
      <c r="H1338" s="592"/>
      <c r="I1338" s="631">
        <v>47.68</v>
      </c>
      <c r="J1338" s="631">
        <f t="shared" si="369"/>
        <v>47.68</v>
      </c>
      <c r="K1338" s="593">
        <f t="shared" si="373"/>
        <v>60.43</v>
      </c>
      <c r="L1338" s="382" t="s">
        <v>21</v>
      </c>
      <c r="M1338" s="30"/>
      <c r="N1338" s="30">
        <v>60.43</v>
      </c>
      <c r="O1338" s="287">
        <f t="shared" si="374"/>
        <v>0</v>
      </c>
      <c r="P1338" s="287">
        <f t="shared" si="375"/>
        <v>0</v>
      </c>
      <c r="Q1338" s="288"/>
      <c r="R1338" s="243"/>
      <c r="S1338" s="378" t="str">
        <f t="shared" si="376"/>
        <v/>
      </c>
      <c r="U1338" s="722"/>
    </row>
    <row r="1339" spans="2:21" ht="25.5" hidden="1" x14ac:dyDescent="0.2">
      <c r="B1339" s="595">
        <v>91962</v>
      </c>
      <c r="C1339" s="596" t="s">
        <v>817</v>
      </c>
      <c r="D1339" s="597" t="s">
        <v>1432</v>
      </c>
      <c r="E1339" s="589"/>
      <c r="F1339" s="590"/>
      <c r="G1339" s="591"/>
      <c r="H1339" s="592"/>
      <c r="I1339" s="631">
        <v>69.760000000000005</v>
      </c>
      <c r="J1339" s="631">
        <f t="shared" si="369"/>
        <v>69.760000000000005</v>
      </c>
      <c r="K1339" s="593">
        <f t="shared" si="373"/>
        <v>88.42</v>
      </c>
      <c r="L1339" s="382" t="s">
        <v>21</v>
      </c>
      <c r="M1339" s="30"/>
      <c r="N1339" s="30">
        <v>88.42</v>
      </c>
      <c r="O1339" s="287">
        <f t="shared" si="374"/>
        <v>0</v>
      </c>
      <c r="P1339" s="287">
        <f t="shared" si="375"/>
        <v>0</v>
      </c>
      <c r="Q1339" s="288"/>
      <c r="R1339" s="243"/>
      <c r="S1339" s="378" t="str">
        <f t="shared" si="376"/>
        <v/>
      </c>
      <c r="U1339" s="722"/>
    </row>
    <row r="1340" spans="2:21" ht="25.5" hidden="1" x14ac:dyDescent="0.2">
      <c r="B1340" s="595">
        <v>91963</v>
      </c>
      <c r="C1340" s="596" t="s">
        <v>817</v>
      </c>
      <c r="D1340" s="597" t="s">
        <v>1433</v>
      </c>
      <c r="E1340" s="589"/>
      <c r="F1340" s="590"/>
      <c r="G1340" s="591"/>
      <c r="H1340" s="592"/>
      <c r="I1340" s="631">
        <v>79.23</v>
      </c>
      <c r="J1340" s="631">
        <f t="shared" si="369"/>
        <v>79.23</v>
      </c>
      <c r="K1340" s="593">
        <f t="shared" si="373"/>
        <v>100.42</v>
      </c>
      <c r="L1340" s="382" t="s">
        <v>21</v>
      </c>
      <c r="M1340" s="30"/>
      <c r="N1340" s="30">
        <v>100.42</v>
      </c>
      <c r="O1340" s="287">
        <f t="shared" si="374"/>
        <v>0</v>
      </c>
      <c r="P1340" s="287">
        <f t="shared" si="375"/>
        <v>0</v>
      </c>
      <c r="Q1340" s="288"/>
      <c r="R1340" s="243"/>
      <c r="S1340" s="378" t="str">
        <f t="shared" si="376"/>
        <v/>
      </c>
      <c r="U1340" s="722"/>
    </row>
    <row r="1341" spans="2:21" ht="25.5" hidden="1" x14ac:dyDescent="0.2">
      <c r="B1341" s="595">
        <v>91964</v>
      </c>
      <c r="C1341" s="596" t="s">
        <v>817</v>
      </c>
      <c r="D1341" s="597" t="s">
        <v>1434</v>
      </c>
      <c r="E1341" s="589"/>
      <c r="F1341" s="590"/>
      <c r="G1341" s="591"/>
      <c r="H1341" s="592"/>
      <c r="I1341" s="631">
        <v>62.75</v>
      </c>
      <c r="J1341" s="631">
        <f t="shared" si="369"/>
        <v>62.75</v>
      </c>
      <c r="K1341" s="593">
        <f t="shared" si="373"/>
        <v>79.540000000000006</v>
      </c>
      <c r="L1341" s="382" t="s">
        <v>21</v>
      </c>
      <c r="M1341" s="30"/>
      <c r="N1341" s="30">
        <v>79.540000000000006</v>
      </c>
      <c r="O1341" s="287">
        <f t="shared" si="374"/>
        <v>0</v>
      </c>
      <c r="P1341" s="287">
        <f t="shared" si="375"/>
        <v>0</v>
      </c>
      <c r="Q1341" s="288"/>
      <c r="R1341" s="243"/>
      <c r="S1341" s="378" t="str">
        <f t="shared" si="376"/>
        <v/>
      </c>
      <c r="U1341" s="722"/>
    </row>
    <row r="1342" spans="2:21" ht="25.5" hidden="1" x14ac:dyDescent="0.2">
      <c r="B1342" s="595">
        <v>91965</v>
      </c>
      <c r="C1342" s="596" t="s">
        <v>817</v>
      </c>
      <c r="D1342" s="597" t="s">
        <v>1435</v>
      </c>
      <c r="E1342" s="589"/>
      <c r="F1342" s="590"/>
      <c r="G1342" s="591"/>
      <c r="H1342" s="592"/>
      <c r="I1342" s="631">
        <v>72.22</v>
      </c>
      <c r="J1342" s="631">
        <f t="shared" si="369"/>
        <v>72.22</v>
      </c>
      <c r="K1342" s="593">
        <f t="shared" si="373"/>
        <v>91.54</v>
      </c>
      <c r="L1342" s="382" t="s">
        <v>21</v>
      </c>
      <c r="M1342" s="30"/>
      <c r="N1342" s="30">
        <v>91.54</v>
      </c>
      <c r="O1342" s="287">
        <f t="shared" si="374"/>
        <v>0</v>
      </c>
      <c r="P1342" s="287">
        <f t="shared" si="375"/>
        <v>0</v>
      </c>
      <c r="Q1342" s="288"/>
      <c r="R1342" s="243"/>
      <c r="S1342" s="378" t="str">
        <f t="shared" si="376"/>
        <v/>
      </c>
      <c r="U1342" s="722"/>
    </row>
    <row r="1343" spans="2:21" ht="25.5" hidden="1" x14ac:dyDescent="0.2">
      <c r="B1343" s="595">
        <v>91966</v>
      </c>
      <c r="C1343" s="596" t="s">
        <v>817</v>
      </c>
      <c r="D1343" s="597" t="s">
        <v>1436</v>
      </c>
      <c r="E1343" s="589"/>
      <c r="F1343" s="590"/>
      <c r="G1343" s="591"/>
      <c r="H1343" s="592"/>
      <c r="I1343" s="631">
        <v>55.79</v>
      </c>
      <c r="J1343" s="631">
        <f t="shared" si="369"/>
        <v>55.79</v>
      </c>
      <c r="K1343" s="593">
        <f t="shared" si="373"/>
        <v>70.709999999999994</v>
      </c>
      <c r="L1343" s="382" t="s">
        <v>21</v>
      </c>
      <c r="M1343" s="30"/>
      <c r="N1343" s="30">
        <v>70.709999999999994</v>
      </c>
      <c r="O1343" s="287">
        <f t="shared" si="374"/>
        <v>0</v>
      </c>
      <c r="P1343" s="287">
        <f t="shared" si="375"/>
        <v>0</v>
      </c>
      <c r="Q1343" s="288"/>
      <c r="R1343" s="243"/>
      <c r="S1343" s="378" t="str">
        <f t="shared" si="376"/>
        <v/>
      </c>
      <c r="U1343" s="722"/>
    </row>
    <row r="1344" spans="2:21" ht="25.5" hidden="1" x14ac:dyDescent="0.2">
      <c r="B1344" s="595">
        <v>91967</v>
      </c>
      <c r="C1344" s="596" t="s">
        <v>817</v>
      </c>
      <c r="D1344" s="597" t="s">
        <v>1437</v>
      </c>
      <c r="E1344" s="589"/>
      <c r="F1344" s="590"/>
      <c r="G1344" s="591"/>
      <c r="H1344" s="592"/>
      <c r="I1344" s="631">
        <v>65.260000000000005</v>
      </c>
      <c r="J1344" s="631">
        <f t="shared" si="369"/>
        <v>65.260000000000005</v>
      </c>
      <c r="K1344" s="593">
        <f t="shared" si="373"/>
        <v>82.72</v>
      </c>
      <c r="L1344" s="382" t="s">
        <v>21</v>
      </c>
      <c r="M1344" s="30"/>
      <c r="N1344" s="30">
        <v>82.72</v>
      </c>
      <c r="O1344" s="287">
        <f t="shared" si="374"/>
        <v>0</v>
      </c>
      <c r="P1344" s="287">
        <f t="shared" si="375"/>
        <v>0</v>
      </c>
      <c r="Q1344" s="288"/>
      <c r="R1344" s="243"/>
      <c r="S1344" s="378" t="str">
        <f t="shared" si="376"/>
        <v/>
      </c>
      <c r="U1344" s="722"/>
    </row>
    <row r="1345" spans="2:21" ht="25.5" hidden="1" x14ac:dyDescent="0.2">
      <c r="B1345" s="595">
        <v>91970</v>
      </c>
      <c r="C1345" s="596" t="s">
        <v>817</v>
      </c>
      <c r="D1345" s="597" t="s">
        <v>1438</v>
      </c>
      <c r="E1345" s="589"/>
      <c r="F1345" s="590"/>
      <c r="G1345" s="591"/>
      <c r="H1345" s="592"/>
      <c r="I1345" s="631">
        <v>80.7</v>
      </c>
      <c r="J1345" s="631">
        <f t="shared" si="369"/>
        <v>80.7</v>
      </c>
      <c r="K1345" s="593">
        <f t="shared" si="373"/>
        <v>102.29</v>
      </c>
      <c r="L1345" s="382" t="s">
        <v>21</v>
      </c>
      <c r="M1345" s="30"/>
      <c r="N1345" s="30">
        <v>102.29</v>
      </c>
      <c r="O1345" s="287">
        <f t="shared" si="374"/>
        <v>0</v>
      </c>
      <c r="P1345" s="287">
        <f t="shared" si="375"/>
        <v>0</v>
      </c>
      <c r="Q1345" s="288"/>
      <c r="R1345" s="243"/>
      <c r="S1345" s="378" t="str">
        <f t="shared" si="376"/>
        <v/>
      </c>
      <c r="U1345" s="722"/>
    </row>
    <row r="1346" spans="2:21" ht="25.5" hidden="1" x14ac:dyDescent="0.2">
      <c r="B1346" s="595">
        <v>91971</v>
      </c>
      <c r="C1346" s="596" t="s">
        <v>817</v>
      </c>
      <c r="D1346" s="597" t="s">
        <v>1439</v>
      </c>
      <c r="E1346" s="589"/>
      <c r="F1346" s="590"/>
      <c r="G1346" s="591"/>
      <c r="H1346" s="592"/>
      <c r="I1346" s="631">
        <v>96.11</v>
      </c>
      <c r="J1346" s="631">
        <f t="shared" si="369"/>
        <v>96.11</v>
      </c>
      <c r="K1346" s="593">
        <f t="shared" si="373"/>
        <v>121.82</v>
      </c>
      <c r="L1346" s="382" t="s">
        <v>21</v>
      </c>
      <c r="M1346" s="30"/>
      <c r="N1346" s="30">
        <v>121.82</v>
      </c>
      <c r="O1346" s="287">
        <f t="shared" si="374"/>
        <v>0</v>
      </c>
      <c r="P1346" s="287">
        <f t="shared" si="375"/>
        <v>0</v>
      </c>
      <c r="Q1346" s="288"/>
      <c r="R1346" s="243"/>
      <c r="S1346" s="378" t="str">
        <f t="shared" si="376"/>
        <v/>
      </c>
      <c r="U1346" s="722"/>
    </row>
    <row r="1347" spans="2:21" ht="25.5" hidden="1" x14ac:dyDescent="0.2">
      <c r="B1347" s="595">
        <v>91972</v>
      </c>
      <c r="C1347" s="596" t="s">
        <v>817</v>
      </c>
      <c r="D1347" s="597" t="s">
        <v>1440</v>
      </c>
      <c r="E1347" s="589"/>
      <c r="F1347" s="590"/>
      <c r="G1347" s="591"/>
      <c r="H1347" s="592"/>
      <c r="I1347" s="631">
        <v>87.7</v>
      </c>
      <c r="J1347" s="631">
        <f t="shared" si="369"/>
        <v>87.7</v>
      </c>
      <c r="K1347" s="593">
        <f t="shared" si="373"/>
        <v>111.16</v>
      </c>
      <c r="L1347" s="382" t="s">
        <v>21</v>
      </c>
      <c r="M1347" s="30"/>
      <c r="N1347" s="30">
        <v>111.16</v>
      </c>
      <c r="O1347" s="287">
        <f t="shared" si="374"/>
        <v>0</v>
      </c>
      <c r="P1347" s="287">
        <f t="shared" si="375"/>
        <v>0</v>
      </c>
      <c r="Q1347" s="288"/>
      <c r="R1347" s="243"/>
      <c r="S1347" s="378" t="str">
        <f t="shared" si="376"/>
        <v/>
      </c>
      <c r="U1347" s="722"/>
    </row>
    <row r="1348" spans="2:21" ht="25.5" hidden="1" x14ac:dyDescent="0.2">
      <c r="B1348" s="595">
        <v>91973</v>
      </c>
      <c r="C1348" s="596" t="s">
        <v>817</v>
      </c>
      <c r="D1348" s="597" t="s">
        <v>1441</v>
      </c>
      <c r="E1348" s="589"/>
      <c r="F1348" s="590"/>
      <c r="G1348" s="591"/>
      <c r="H1348" s="592"/>
      <c r="I1348" s="631">
        <v>103.11</v>
      </c>
      <c r="J1348" s="631">
        <f t="shared" si="369"/>
        <v>103.11</v>
      </c>
      <c r="K1348" s="593">
        <f t="shared" si="373"/>
        <v>130.69</v>
      </c>
      <c r="L1348" s="382" t="s">
        <v>21</v>
      </c>
      <c r="M1348" s="30"/>
      <c r="N1348" s="30">
        <v>130.69</v>
      </c>
      <c r="O1348" s="287">
        <f t="shared" si="374"/>
        <v>0</v>
      </c>
      <c r="P1348" s="287">
        <f t="shared" si="375"/>
        <v>0</v>
      </c>
      <c r="Q1348" s="288"/>
      <c r="R1348" s="243"/>
      <c r="S1348" s="378" t="str">
        <f t="shared" si="376"/>
        <v/>
      </c>
      <c r="U1348" s="722"/>
    </row>
    <row r="1349" spans="2:21" ht="25.5" hidden="1" x14ac:dyDescent="0.2">
      <c r="B1349" s="595">
        <v>91974</v>
      </c>
      <c r="C1349" s="596" t="s">
        <v>817</v>
      </c>
      <c r="D1349" s="597" t="s">
        <v>1442</v>
      </c>
      <c r="E1349" s="589"/>
      <c r="F1349" s="590"/>
      <c r="G1349" s="591"/>
      <c r="H1349" s="592"/>
      <c r="I1349" s="631">
        <v>73.69</v>
      </c>
      <c r="J1349" s="631">
        <f t="shared" si="369"/>
        <v>73.69</v>
      </c>
      <c r="K1349" s="593">
        <f t="shared" si="373"/>
        <v>93.4</v>
      </c>
      <c r="L1349" s="382" t="s">
        <v>21</v>
      </c>
      <c r="M1349" s="30"/>
      <c r="N1349" s="30">
        <v>93.4</v>
      </c>
      <c r="O1349" s="287">
        <f t="shared" si="374"/>
        <v>0</v>
      </c>
      <c r="P1349" s="287">
        <f t="shared" si="375"/>
        <v>0</v>
      </c>
      <c r="Q1349" s="288"/>
      <c r="R1349" s="243"/>
      <c r="S1349" s="378" t="str">
        <f t="shared" si="376"/>
        <v/>
      </c>
      <c r="U1349" s="722"/>
    </row>
    <row r="1350" spans="2:21" ht="25.5" hidden="1" x14ac:dyDescent="0.2">
      <c r="B1350" s="595">
        <v>91975</v>
      </c>
      <c r="C1350" s="596" t="s">
        <v>817</v>
      </c>
      <c r="D1350" s="597" t="s">
        <v>1443</v>
      </c>
      <c r="E1350" s="589"/>
      <c r="F1350" s="590"/>
      <c r="G1350" s="591"/>
      <c r="H1350" s="592"/>
      <c r="I1350" s="631">
        <v>89.1</v>
      </c>
      <c r="J1350" s="631">
        <f t="shared" si="369"/>
        <v>89.1</v>
      </c>
      <c r="K1350" s="593">
        <f t="shared" si="373"/>
        <v>112.93</v>
      </c>
      <c r="L1350" s="382" t="s">
        <v>21</v>
      </c>
      <c r="M1350" s="30"/>
      <c r="N1350" s="30">
        <v>112.93</v>
      </c>
      <c r="O1350" s="287">
        <f t="shared" si="374"/>
        <v>0</v>
      </c>
      <c r="P1350" s="287">
        <f t="shared" si="375"/>
        <v>0</v>
      </c>
      <c r="Q1350" s="288"/>
      <c r="R1350" s="243"/>
      <c r="S1350" s="378" t="str">
        <f t="shared" si="376"/>
        <v/>
      </c>
      <c r="U1350" s="722"/>
    </row>
    <row r="1351" spans="2:21" ht="25.5" hidden="1" x14ac:dyDescent="0.2">
      <c r="B1351" s="595">
        <v>91976</v>
      </c>
      <c r="C1351" s="596" t="s">
        <v>817</v>
      </c>
      <c r="D1351" s="597" t="s">
        <v>1444</v>
      </c>
      <c r="E1351" s="589"/>
      <c r="F1351" s="590"/>
      <c r="G1351" s="591"/>
      <c r="H1351" s="592"/>
      <c r="I1351" s="631">
        <v>108.96</v>
      </c>
      <c r="J1351" s="631">
        <f t="shared" si="369"/>
        <v>108.96</v>
      </c>
      <c r="K1351" s="593">
        <f t="shared" si="373"/>
        <v>138.11000000000001</v>
      </c>
      <c r="L1351" s="382" t="s">
        <v>21</v>
      </c>
      <c r="M1351" s="30"/>
      <c r="N1351" s="30">
        <v>138.11000000000001</v>
      </c>
      <c r="O1351" s="287">
        <f t="shared" si="374"/>
        <v>0</v>
      </c>
      <c r="P1351" s="287">
        <f t="shared" si="375"/>
        <v>0</v>
      </c>
      <c r="Q1351" s="288"/>
      <c r="R1351" s="243"/>
      <c r="S1351" s="378" t="str">
        <f t="shared" si="376"/>
        <v/>
      </c>
      <c r="U1351" s="722"/>
    </row>
    <row r="1352" spans="2:21" ht="25.5" hidden="1" x14ac:dyDescent="0.2">
      <c r="B1352" s="595">
        <v>91977</v>
      </c>
      <c r="C1352" s="596" t="s">
        <v>817</v>
      </c>
      <c r="D1352" s="597" t="s">
        <v>1445</v>
      </c>
      <c r="E1352" s="589"/>
      <c r="F1352" s="590"/>
      <c r="G1352" s="591"/>
      <c r="H1352" s="592"/>
      <c r="I1352" s="631">
        <v>124.37</v>
      </c>
      <c r="J1352" s="631">
        <f t="shared" si="369"/>
        <v>124.37</v>
      </c>
      <c r="K1352" s="593">
        <f t="shared" si="373"/>
        <v>157.63999999999999</v>
      </c>
      <c r="L1352" s="382" t="s">
        <v>21</v>
      </c>
      <c r="M1352" s="30"/>
      <c r="N1352" s="30">
        <v>157.63999999999999</v>
      </c>
      <c r="O1352" s="287">
        <f t="shared" si="374"/>
        <v>0</v>
      </c>
      <c r="P1352" s="287">
        <f t="shared" si="375"/>
        <v>0</v>
      </c>
      <c r="Q1352" s="288"/>
      <c r="R1352" s="243"/>
      <c r="S1352" s="378" t="str">
        <f t="shared" si="376"/>
        <v/>
      </c>
      <c r="U1352" s="722"/>
    </row>
    <row r="1353" spans="2:21" ht="25.5" hidden="1" x14ac:dyDescent="0.2">
      <c r="B1353" s="595">
        <v>92022</v>
      </c>
      <c r="C1353" s="596" t="s">
        <v>817</v>
      </c>
      <c r="D1353" s="597" t="s">
        <v>1446</v>
      </c>
      <c r="E1353" s="589"/>
      <c r="F1353" s="590"/>
      <c r="G1353" s="591"/>
      <c r="H1353" s="592"/>
      <c r="I1353" s="631">
        <v>43.65</v>
      </c>
      <c r="J1353" s="631">
        <f t="shared" si="369"/>
        <v>43.65</v>
      </c>
      <c r="K1353" s="593">
        <f t="shared" si="373"/>
        <v>55.33</v>
      </c>
      <c r="L1353" s="382" t="s">
        <v>21</v>
      </c>
      <c r="M1353" s="30"/>
      <c r="N1353" s="30">
        <v>55.33</v>
      </c>
      <c r="O1353" s="287">
        <f t="shared" si="374"/>
        <v>0</v>
      </c>
      <c r="P1353" s="287">
        <f t="shared" si="375"/>
        <v>0</v>
      </c>
      <c r="Q1353" s="288"/>
      <c r="R1353" s="243"/>
      <c r="S1353" s="378" t="str">
        <f t="shared" si="376"/>
        <v/>
      </c>
      <c r="U1353" s="722"/>
    </row>
    <row r="1354" spans="2:21" ht="25.5" hidden="1" x14ac:dyDescent="0.2">
      <c r="B1354" s="595">
        <v>92023</v>
      </c>
      <c r="C1354" s="596" t="s">
        <v>817</v>
      </c>
      <c r="D1354" s="597" t="s">
        <v>1447</v>
      </c>
      <c r="E1354" s="589"/>
      <c r="F1354" s="590"/>
      <c r="G1354" s="591"/>
      <c r="H1354" s="592"/>
      <c r="I1354" s="631">
        <v>53.12</v>
      </c>
      <c r="J1354" s="631">
        <f t="shared" si="369"/>
        <v>53.12</v>
      </c>
      <c r="K1354" s="593">
        <f t="shared" si="373"/>
        <v>67.33</v>
      </c>
      <c r="L1354" s="382" t="s">
        <v>21</v>
      </c>
      <c r="M1354" s="30"/>
      <c r="N1354" s="30">
        <v>67.33</v>
      </c>
      <c r="O1354" s="287">
        <f t="shared" si="374"/>
        <v>0</v>
      </c>
      <c r="P1354" s="287">
        <f t="shared" si="375"/>
        <v>0</v>
      </c>
      <c r="Q1354" s="288"/>
      <c r="R1354" s="243"/>
      <c r="S1354" s="378" t="str">
        <f t="shared" si="376"/>
        <v/>
      </c>
      <c r="U1354" s="722"/>
    </row>
    <row r="1355" spans="2:21" ht="25.5" hidden="1" x14ac:dyDescent="0.2">
      <c r="B1355" s="595">
        <v>92024</v>
      </c>
      <c r="C1355" s="596" t="s">
        <v>817</v>
      </c>
      <c r="D1355" s="597" t="s">
        <v>1448</v>
      </c>
      <c r="E1355" s="589"/>
      <c r="F1355" s="590"/>
      <c r="G1355" s="591"/>
      <c r="H1355" s="592"/>
      <c r="I1355" s="631">
        <v>66.72</v>
      </c>
      <c r="J1355" s="631">
        <f t="shared" si="369"/>
        <v>66.72</v>
      </c>
      <c r="K1355" s="593">
        <f t="shared" si="373"/>
        <v>84.57</v>
      </c>
      <c r="L1355" s="382" t="s">
        <v>21</v>
      </c>
      <c r="M1355" s="30"/>
      <c r="N1355" s="30">
        <v>84.57</v>
      </c>
      <c r="O1355" s="287">
        <f t="shared" si="374"/>
        <v>0</v>
      </c>
      <c r="P1355" s="287">
        <f t="shared" si="375"/>
        <v>0</v>
      </c>
      <c r="Q1355" s="288"/>
      <c r="R1355" s="243"/>
      <c r="S1355" s="378" t="str">
        <f t="shared" si="376"/>
        <v/>
      </c>
      <c r="U1355" s="722"/>
    </row>
    <row r="1356" spans="2:21" ht="25.5" hidden="1" x14ac:dyDescent="0.2">
      <c r="B1356" s="595">
        <v>92025</v>
      </c>
      <c r="C1356" s="596" t="s">
        <v>817</v>
      </c>
      <c r="D1356" s="597" t="s">
        <v>1449</v>
      </c>
      <c r="E1356" s="589"/>
      <c r="F1356" s="590"/>
      <c r="G1356" s="591"/>
      <c r="H1356" s="592"/>
      <c r="I1356" s="631">
        <v>76.19</v>
      </c>
      <c r="J1356" s="631">
        <f t="shared" si="369"/>
        <v>76.19</v>
      </c>
      <c r="K1356" s="593">
        <f t="shared" si="373"/>
        <v>96.57</v>
      </c>
      <c r="L1356" s="382" t="s">
        <v>21</v>
      </c>
      <c r="M1356" s="30"/>
      <c r="N1356" s="30">
        <v>96.57</v>
      </c>
      <c r="O1356" s="287">
        <f t="shared" si="374"/>
        <v>0</v>
      </c>
      <c r="P1356" s="287">
        <f t="shared" si="375"/>
        <v>0</v>
      </c>
      <c r="Q1356" s="288"/>
      <c r="R1356" s="243"/>
      <c r="S1356" s="378" t="str">
        <f t="shared" si="376"/>
        <v/>
      </c>
      <c r="U1356" s="722"/>
    </row>
    <row r="1357" spans="2:21" ht="25.5" hidden="1" x14ac:dyDescent="0.2">
      <c r="B1357" s="595">
        <v>92026</v>
      </c>
      <c r="C1357" s="596" t="s">
        <v>817</v>
      </c>
      <c r="D1357" s="597" t="s">
        <v>1450</v>
      </c>
      <c r="E1357" s="589"/>
      <c r="F1357" s="590"/>
      <c r="G1357" s="591"/>
      <c r="H1357" s="592"/>
      <c r="I1357" s="631">
        <v>61.23</v>
      </c>
      <c r="J1357" s="631">
        <f t="shared" si="369"/>
        <v>61.23</v>
      </c>
      <c r="K1357" s="593">
        <f t="shared" si="373"/>
        <v>77.61</v>
      </c>
      <c r="L1357" s="382" t="s">
        <v>21</v>
      </c>
      <c r="M1357" s="30"/>
      <c r="N1357" s="30">
        <v>77.61</v>
      </c>
      <c r="O1357" s="287">
        <f t="shared" si="374"/>
        <v>0</v>
      </c>
      <c r="P1357" s="287">
        <f t="shared" si="375"/>
        <v>0</v>
      </c>
      <c r="Q1357" s="288"/>
      <c r="R1357" s="243"/>
      <c r="S1357" s="378" t="str">
        <f t="shared" si="376"/>
        <v/>
      </c>
      <c r="U1357" s="722"/>
    </row>
    <row r="1358" spans="2:21" ht="25.5" hidden="1" x14ac:dyDescent="0.2">
      <c r="B1358" s="595">
        <v>92027</v>
      </c>
      <c r="C1358" s="596" t="s">
        <v>817</v>
      </c>
      <c r="D1358" s="597" t="s">
        <v>1451</v>
      </c>
      <c r="E1358" s="589"/>
      <c r="F1358" s="590"/>
      <c r="G1358" s="591"/>
      <c r="H1358" s="592"/>
      <c r="I1358" s="631">
        <v>70.7</v>
      </c>
      <c r="J1358" s="631">
        <f t="shared" si="369"/>
        <v>70.7</v>
      </c>
      <c r="K1358" s="593">
        <f t="shared" si="373"/>
        <v>89.61</v>
      </c>
      <c r="L1358" s="382" t="s">
        <v>21</v>
      </c>
      <c r="M1358" s="30"/>
      <c r="N1358" s="30">
        <v>89.61</v>
      </c>
      <c r="O1358" s="287">
        <f t="shared" si="374"/>
        <v>0</v>
      </c>
      <c r="P1358" s="287">
        <f t="shared" si="375"/>
        <v>0</v>
      </c>
      <c r="Q1358" s="288"/>
      <c r="R1358" s="243"/>
      <c r="S1358" s="378" t="str">
        <f t="shared" si="376"/>
        <v/>
      </c>
      <c r="U1358" s="722"/>
    </row>
    <row r="1359" spans="2:21" ht="25.5" hidden="1" x14ac:dyDescent="0.2">
      <c r="B1359" s="595">
        <v>92034</v>
      </c>
      <c r="C1359" s="596" t="s">
        <v>817</v>
      </c>
      <c r="D1359" s="597" t="s">
        <v>1452</v>
      </c>
      <c r="E1359" s="589"/>
      <c r="F1359" s="590"/>
      <c r="G1359" s="591"/>
      <c r="H1359" s="592"/>
      <c r="I1359" s="631">
        <v>68.239999999999995</v>
      </c>
      <c r="J1359" s="631">
        <f t="shared" si="369"/>
        <v>68.239999999999995</v>
      </c>
      <c r="K1359" s="593">
        <f t="shared" si="373"/>
        <v>86.49</v>
      </c>
      <c r="L1359" s="382" t="s">
        <v>21</v>
      </c>
      <c r="M1359" s="30"/>
      <c r="N1359" s="30">
        <v>86.49</v>
      </c>
      <c r="O1359" s="287">
        <f t="shared" si="374"/>
        <v>0</v>
      </c>
      <c r="P1359" s="287">
        <f t="shared" si="375"/>
        <v>0</v>
      </c>
      <c r="Q1359" s="288"/>
      <c r="R1359" s="243"/>
      <c r="S1359" s="378" t="str">
        <f t="shared" si="376"/>
        <v/>
      </c>
      <c r="U1359" s="722"/>
    </row>
    <row r="1360" spans="2:21" ht="25.5" hidden="1" x14ac:dyDescent="0.2">
      <c r="B1360" s="595">
        <v>92035</v>
      </c>
      <c r="C1360" s="596" t="s">
        <v>817</v>
      </c>
      <c r="D1360" s="597" t="s">
        <v>1453</v>
      </c>
      <c r="E1360" s="589"/>
      <c r="F1360" s="590"/>
      <c r="G1360" s="591"/>
      <c r="H1360" s="592"/>
      <c r="I1360" s="631">
        <v>77.709999999999994</v>
      </c>
      <c r="J1360" s="631">
        <f t="shared" si="369"/>
        <v>77.709999999999994</v>
      </c>
      <c r="K1360" s="593">
        <f t="shared" si="373"/>
        <v>98.5</v>
      </c>
      <c r="L1360" s="382" t="s">
        <v>21</v>
      </c>
      <c r="M1360" s="30"/>
      <c r="N1360" s="30">
        <v>98.5</v>
      </c>
      <c r="O1360" s="287">
        <f t="shared" si="374"/>
        <v>0</v>
      </c>
      <c r="P1360" s="287">
        <f t="shared" si="375"/>
        <v>0</v>
      </c>
      <c r="Q1360" s="288"/>
      <c r="R1360" s="243"/>
      <c r="S1360" s="378" t="str">
        <f t="shared" si="376"/>
        <v/>
      </c>
      <c r="U1360" s="722"/>
    </row>
    <row r="1361" spans="2:21" ht="25.5" hidden="1" x14ac:dyDescent="0.2">
      <c r="B1361" s="595">
        <v>91954</v>
      </c>
      <c r="C1361" s="596" t="s">
        <v>817</v>
      </c>
      <c r="D1361" s="597" t="s">
        <v>1454</v>
      </c>
      <c r="E1361" s="589"/>
      <c r="F1361" s="590"/>
      <c r="G1361" s="591"/>
      <c r="H1361" s="592"/>
      <c r="I1361" s="631">
        <v>27.63</v>
      </c>
      <c r="J1361" s="631">
        <f t="shared" si="369"/>
        <v>27.63</v>
      </c>
      <c r="K1361" s="593">
        <f t="shared" si="373"/>
        <v>35.020000000000003</v>
      </c>
      <c r="L1361" s="382" t="s">
        <v>21</v>
      </c>
      <c r="M1361" s="30"/>
      <c r="N1361" s="30">
        <v>35.020000000000003</v>
      </c>
      <c r="O1361" s="287">
        <f t="shared" si="374"/>
        <v>0</v>
      </c>
      <c r="P1361" s="287">
        <f t="shared" si="375"/>
        <v>0</v>
      </c>
      <c r="Q1361" s="288"/>
      <c r="R1361" s="243"/>
      <c r="S1361" s="378" t="str">
        <f t="shared" si="376"/>
        <v/>
      </c>
      <c r="U1361" s="722"/>
    </row>
    <row r="1362" spans="2:21" ht="25.5" hidden="1" x14ac:dyDescent="0.2">
      <c r="B1362" s="595">
        <v>91955</v>
      </c>
      <c r="C1362" s="596" t="s">
        <v>817</v>
      </c>
      <c r="D1362" s="597" t="s">
        <v>1455</v>
      </c>
      <c r="E1362" s="589"/>
      <c r="F1362" s="590"/>
      <c r="G1362" s="591"/>
      <c r="H1362" s="592"/>
      <c r="I1362" s="631">
        <v>37.1</v>
      </c>
      <c r="J1362" s="631">
        <f t="shared" si="369"/>
        <v>37.1</v>
      </c>
      <c r="K1362" s="593">
        <f t="shared" si="373"/>
        <v>47.02</v>
      </c>
      <c r="L1362" s="382" t="s">
        <v>21</v>
      </c>
      <c r="M1362" s="30"/>
      <c r="N1362" s="30">
        <v>47.02</v>
      </c>
      <c r="O1362" s="287">
        <f t="shared" si="374"/>
        <v>0</v>
      </c>
      <c r="P1362" s="287">
        <f t="shared" si="375"/>
        <v>0</v>
      </c>
      <c r="Q1362" s="288"/>
      <c r="R1362" s="243"/>
      <c r="S1362" s="378" t="str">
        <f t="shared" si="376"/>
        <v/>
      </c>
      <c r="U1362" s="722"/>
    </row>
    <row r="1363" spans="2:21" ht="25.5" hidden="1" x14ac:dyDescent="0.2">
      <c r="B1363" s="595">
        <v>91960</v>
      </c>
      <c r="C1363" s="596" t="s">
        <v>817</v>
      </c>
      <c r="D1363" s="597" t="s">
        <v>1456</v>
      </c>
      <c r="E1363" s="589"/>
      <c r="F1363" s="590"/>
      <c r="G1363" s="591"/>
      <c r="H1363" s="592"/>
      <c r="I1363" s="631">
        <v>52.17</v>
      </c>
      <c r="J1363" s="631">
        <f t="shared" si="369"/>
        <v>52.17</v>
      </c>
      <c r="K1363" s="593">
        <f t="shared" si="373"/>
        <v>66.13</v>
      </c>
      <c r="L1363" s="382" t="s">
        <v>21</v>
      </c>
      <c r="M1363" s="30"/>
      <c r="N1363" s="30">
        <v>66.13</v>
      </c>
      <c r="O1363" s="287">
        <f t="shared" si="374"/>
        <v>0</v>
      </c>
      <c r="P1363" s="287">
        <f t="shared" si="375"/>
        <v>0</v>
      </c>
      <c r="Q1363" s="288"/>
      <c r="R1363" s="243"/>
      <c r="S1363" s="378" t="str">
        <f t="shared" si="376"/>
        <v/>
      </c>
      <c r="U1363" s="722"/>
    </row>
    <row r="1364" spans="2:21" ht="25.5" hidden="1" x14ac:dyDescent="0.2">
      <c r="B1364" s="595">
        <v>91961</v>
      </c>
      <c r="C1364" s="596" t="s">
        <v>817</v>
      </c>
      <c r="D1364" s="597" t="s">
        <v>1457</v>
      </c>
      <c r="E1364" s="589"/>
      <c r="F1364" s="590"/>
      <c r="G1364" s="591"/>
      <c r="H1364" s="592"/>
      <c r="I1364" s="631">
        <v>61.64</v>
      </c>
      <c r="J1364" s="631">
        <f t="shared" si="369"/>
        <v>61.64</v>
      </c>
      <c r="K1364" s="593">
        <f t="shared" si="373"/>
        <v>78.13</v>
      </c>
      <c r="L1364" s="382" t="s">
        <v>21</v>
      </c>
      <c r="M1364" s="30"/>
      <c r="N1364" s="30">
        <v>78.13</v>
      </c>
      <c r="O1364" s="287">
        <f t="shared" si="374"/>
        <v>0</v>
      </c>
      <c r="P1364" s="287">
        <f t="shared" si="375"/>
        <v>0</v>
      </c>
      <c r="Q1364" s="288"/>
      <c r="R1364" s="243"/>
      <c r="S1364" s="378" t="str">
        <f t="shared" si="376"/>
        <v/>
      </c>
      <c r="U1364" s="722"/>
    </row>
    <row r="1365" spans="2:21" ht="25.5" hidden="1" x14ac:dyDescent="0.2">
      <c r="B1365" s="595">
        <v>91968</v>
      </c>
      <c r="C1365" s="596" t="s">
        <v>817</v>
      </c>
      <c r="D1365" s="597" t="s">
        <v>1458</v>
      </c>
      <c r="E1365" s="589"/>
      <c r="F1365" s="590"/>
      <c r="G1365" s="591"/>
      <c r="H1365" s="592"/>
      <c r="I1365" s="631">
        <v>76.72</v>
      </c>
      <c r="J1365" s="631">
        <f t="shared" ref="J1365:J1428" si="377">IF(ISBLANK(I1365),"",SUM(H1365:I1365))</f>
        <v>76.72</v>
      </c>
      <c r="K1365" s="593">
        <f t="shared" si="373"/>
        <v>97.24</v>
      </c>
      <c r="L1365" s="382" t="s">
        <v>21</v>
      </c>
      <c r="M1365" s="30"/>
      <c r="N1365" s="30">
        <v>97.24</v>
      </c>
      <c r="O1365" s="287">
        <f t="shared" si="374"/>
        <v>0</v>
      </c>
      <c r="P1365" s="287">
        <f t="shared" si="375"/>
        <v>0</v>
      </c>
      <c r="Q1365" s="288"/>
      <c r="R1365" s="243"/>
      <c r="S1365" s="378" t="str">
        <f t="shared" si="376"/>
        <v/>
      </c>
      <c r="U1365" s="722"/>
    </row>
    <row r="1366" spans="2:21" ht="25.5" hidden="1" x14ac:dyDescent="0.2">
      <c r="B1366" s="595">
        <v>91969</v>
      </c>
      <c r="C1366" s="596" t="s">
        <v>817</v>
      </c>
      <c r="D1366" s="597" t="s">
        <v>1459</v>
      </c>
      <c r="E1366" s="589"/>
      <c r="F1366" s="590"/>
      <c r="G1366" s="591"/>
      <c r="H1366" s="592"/>
      <c r="I1366" s="631">
        <v>86.19</v>
      </c>
      <c r="J1366" s="631">
        <f t="shared" si="377"/>
        <v>86.19</v>
      </c>
      <c r="K1366" s="593">
        <f t="shared" si="373"/>
        <v>109.25</v>
      </c>
      <c r="L1366" s="382" t="s">
        <v>21</v>
      </c>
      <c r="M1366" s="30"/>
      <c r="N1366" s="30">
        <v>109.25</v>
      </c>
      <c r="O1366" s="287">
        <f t="shared" si="374"/>
        <v>0</v>
      </c>
      <c r="P1366" s="287">
        <f t="shared" si="375"/>
        <v>0</v>
      </c>
      <c r="Q1366" s="288"/>
      <c r="R1366" s="243"/>
      <c r="S1366" s="378" t="str">
        <f t="shared" si="376"/>
        <v/>
      </c>
      <c r="U1366" s="722"/>
    </row>
    <row r="1367" spans="2:21" ht="25.5" hidden="1" x14ac:dyDescent="0.2">
      <c r="B1367" s="595">
        <v>92028</v>
      </c>
      <c r="C1367" s="596" t="s">
        <v>817</v>
      </c>
      <c r="D1367" s="597" t="s">
        <v>1460</v>
      </c>
      <c r="E1367" s="589"/>
      <c r="F1367" s="590"/>
      <c r="G1367" s="591"/>
      <c r="H1367" s="592"/>
      <c r="I1367" s="631">
        <v>50.65</v>
      </c>
      <c r="J1367" s="631">
        <f t="shared" si="377"/>
        <v>50.65</v>
      </c>
      <c r="K1367" s="593">
        <f t="shared" si="373"/>
        <v>64.2</v>
      </c>
      <c r="L1367" s="382" t="s">
        <v>21</v>
      </c>
      <c r="M1367" s="30"/>
      <c r="N1367" s="30">
        <v>64.2</v>
      </c>
      <c r="O1367" s="287">
        <f t="shared" si="374"/>
        <v>0</v>
      </c>
      <c r="P1367" s="287">
        <f t="shared" si="375"/>
        <v>0</v>
      </c>
      <c r="Q1367" s="288"/>
      <c r="R1367" s="243"/>
      <c r="S1367" s="378" t="str">
        <f t="shared" si="376"/>
        <v/>
      </c>
      <c r="U1367" s="722"/>
    </row>
    <row r="1368" spans="2:21" ht="25.5" hidden="1" x14ac:dyDescent="0.2">
      <c r="B1368" s="595">
        <v>92029</v>
      </c>
      <c r="C1368" s="596" t="s">
        <v>817</v>
      </c>
      <c r="D1368" s="597" t="s">
        <v>1461</v>
      </c>
      <c r="E1368" s="589"/>
      <c r="F1368" s="590"/>
      <c r="G1368" s="591"/>
      <c r="H1368" s="592"/>
      <c r="I1368" s="631">
        <v>60.12</v>
      </c>
      <c r="J1368" s="631">
        <f t="shared" si="377"/>
        <v>60.12</v>
      </c>
      <c r="K1368" s="593">
        <f t="shared" si="373"/>
        <v>76.2</v>
      </c>
      <c r="L1368" s="382" t="s">
        <v>21</v>
      </c>
      <c r="M1368" s="30"/>
      <c r="N1368" s="30">
        <v>76.2</v>
      </c>
      <c r="O1368" s="287">
        <f t="shared" si="374"/>
        <v>0</v>
      </c>
      <c r="P1368" s="287">
        <f t="shared" si="375"/>
        <v>0</v>
      </c>
      <c r="Q1368" s="288"/>
      <c r="R1368" s="243"/>
      <c r="S1368" s="378" t="str">
        <f t="shared" si="376"/>
        <v/>
      </c>
      <c r="U1368" s="722"/>
    </row>
    <row r="1369" spans="2:21" ht="25.5" hidden="1" x14ac:dyDescent="0.2">
      <c r="B1369" s="595">
        <v>92030</v>
      </c>
      <c r="C1369" s="596" t="s">
        <v>817</v>
      </c>
      <c r="D1369" s="597" t="s">
        <v>1462</v>
      </c>
      <c r="E1369" s="589"/>
      <c r="F1369" s="590"/>
      <c r="G1369" s="591"/>
      <c r="H1369" s="592"/>
      <c r="I1369" s="631">
        <v>73.680000000000007</v>
      </c>
      <c r="J1369" s="631">
        <f t="shared" si="377"/>
        <v>73.680000000000007</v>
      </c>
      <c r="K1369" s="593">
        <f t="shared" si="373"/>
        <v>93.39</v>
      </c>
      <c r="L1369" s="382" t="s">
        <v>21</v>
      </c>
      <c r="M1369" s="30"/>
      <c r="N1369" s="30">
        <v>93.39</v>
      </c>
      <c r="O1369" s="287">
        <f t="shared" si="374"/>
        <v>0</v>
      </c>
      <c r="P1369" s="287">
        <f t="shared" si="375"/>
        <v>0</v>
      </c>
      <c r="Q1369" s="288"/>
      <c r="R1369" s="243"/>
      <c r="S1369" s="378" t="str">
        <f t="shared" si="376"/>
        <v/>
      </c>
      <c r="U1369" s="722"/>
    </row>
    <row r="1370" spans="2:21" ht="25.5" hidden="1" x14ac:dyDescent="0.2">
      <c r="B1370" s="595">
        <v>92031</v>
      </c>
      <c r="C1370" s="596" t="s">
        <v>817</v>
      </c>
      <c r="D1370" s="597" t="s">
        <v>1463</v>
      </c>
      <c r="E1370" s="589"/>
      <c r="F1370" s="590"/>
      <c r="G1370" s="591"/>
      <c r="H1370" s="592"/>
      <c r="I1370" s="631">
        <v>83.15</v>
      </c>
      <c r="J1370" s="631">
        <f t="shared" si="377"/>
        <v>83.15</v>
      </c>
      <c r="K1370" s="593">
        <f t="shared" si="373"/>
        <v>105.39</v>
      </c>
      <c r="L1370" s="382" t="s">
        <v>21</v>
      </c>
      <c r="M1370" s="30"/>
      <c r="N1370" s="30">
        <v>105.39</v>
      </c>
      <c r="O1370" s="287">
        <f t="shared" si="374"/>
        <v>0</v>
      </c>
      <c r="P1370" s="287">
        <f t="shared" si="375"/>
        <v>0</v>
      </c>
      <c r="Q1370" s="288"/>
      <c r="R1370" s="243"/>
      <c r="S1370" s="378" t="str">
        <f t="shared" si="376"/>
        <v/>
      </c>
      <c r="U1370" s="722"/>
    </row>
    <row r="1371" spans="2:21" ht="25.5" hidden="1" x14ac:dyDescent="0.2">
      <c r="B1371" s="595">
        <v>92032</v>
      </c>
      <c r="C1371" s="596" t="s">
        <v>817</v>
      </c>
      <c r="D1371" s="597" t="s">
        <v>1464</v>
      </c>
      <c r="E1371" s="589"/>
      <c r="F1371" s="590"/>
      <c r="G1371" s="591"/>
      <c r="H1371" s="592"/>
      <c r="I1371" s="631">
        <v>75.2</v>
      </c>
      <c r="J1371" s="631">
        <f t="shared" si="377"/>
        <v>75.2</v>
      </c>
      <c r="K1371" s="593">
        <f t="shared" si="373"/>
        <v>95.32</v>
      </c>
      <c r="L1371" s="382" t="s">
        <v>21</v>
      </c>
      <c r="M1371" s="30"/>
      <c r="N1371" s="30">
        <v>95.32</v>
      </c>
      <c r="O1371" s="287">
        <f t="shared" si="374"/>
        <v>0</v>
      </c>
      <c r="P1371" s="287">
        <f t="shared" si="375"/>
        <v>0</v>
      </c>
      <c r="Q1371" s="288"/>
      <c r="R1371" s="243"/>
      <c r="S1371" s="378" t="str">
        <f t="shared" si="376"/>
        <v/>
      </c>
      <c r="U1371" s="722"/>
    </row>
    <row r="1372" spans="2:21" ht="25.5" hidden="1" x14ac:dyDescent="0.2">
      <c r="B1372" s="595">
        <v>92033</v>
      </c>
      <c r="C1372" s="596" t="s">
        <v>817</v>
      </c>
      <c r="D1372" s="597" t="s">
        <v>1465</v>
      </c>
      <c r="E1372" s="589"/>
      <c r="F1372" s="590"/>
      <c r="G1372" s="591"/>
      <c r="H1372" s="592"/>
      <c r="I1372" s="631">
        <v>84.67</v>
      </c>
      <c r="J1372" s="631">
        <f t="shared" si="377"/>
        <v>84.67</v>
      </c>
      <c r="K1372" s="593">
        <f t="shared" si="373"/>
        <v>107.32</v>
      </c>
      <c r="L1372" s="382" t="s">
        <v>21</v>
      </c>
      <c r="M1372" s="30"/>
      <c r="N1372" s="30">
        <v>107.32</v>
      </c>
      <c r="O1372" s="287">
        <f t="shared" si="374"/>
        <v>0</v>
      </c>
      <c r="P1372" s="287">
        <f t="shared" si="375"/>
        <v>0</v>
      </c>
      <c r="Q1372" s="288"/>
      <c r="R1372" s="243"/>
      <c r="S1372" s="378" t="str">
        <f t="shared" si="376"/>
        <v/>
      </c>
      <c r="U1372" s="722"/>
    </row>
    <row r="1373" spans="2:21" ht="25.5" hidden="1" x14ac:dyDescent="0.2">
      <c r="B1373" s="595">
        <v>91978</v>
      </c>
      <c r="C1373" s="596" t="s">
        <v>817</v>
      </c>
      <c r="D1373" s="597" t="s">
        <v>1466</v>
      </c>
      <c r="E1373" s="589"/>
      <c r="F1373" s="590"/>
      <c r="G1373" s="591"/>
      <c r="H1373" s="592"/>
      <c r="I1373" s="631">
        <v>45.28</v>
      </c>
      <c r="J1373" s="631">
        <f t="shared" si="377"/>
        <v>45.28</v>
      </c>
      <c r="K1373" s="593">
        <f t="shared" si="373"/>
        <v>57.39</v>
      </c>
      <c r="L1373" s="382" t="s">
        <v>21</v>
      </c>
      <c r="M1373" s="30"/>
      <c r="N1373" s="30">
        <v>57.39</v>
      </c>
      <c r="O1373" s="287">
        <f t="shared" si="374"/>
        <v>0</v>
      </c>
      <c r="P1373" s="287">
        <f t="shared" si="375"/>
        <v>0</v>
      </c>
      <c r="Q1373" s="288"/>
      <c r="R1373" s="243"/>
      <c r="S1373" s="378" t="str">
        <f t="shared" si="376"/>
        <v/>
      </c>
      <c r="U1373" s="722"/>
    </row>
    <row r="1374" spans="2:21" ht="25.5" hidden="1" x14ac:dyDescent="0.2">
      <c r="B1374" s="595">
        <v>91979</v>
      </c>
      <c r="C1374" s="596" t="s">
        <v>817</v>
      </c>
      <c r="D1374" s="597" t="s">
        <v>1467</v>
      </c>
      <c r="E1374" s="589"/>
      <c r="F1374" s="590"/>
      <c r="G1374" s="591"/>
      <c r="H1374" s="592"/>
      <c r="I1374" s="631">
        <v>54.75</v>
      </c>
      <c r="J1374" s="631">
        <f t="shared" si="377"/>
        <v>54.75</v>
      </c>
      <c r="K1374" s="593">
        <f t="shared" si="373"/>
        <v>69.400000000000006</v>
      </c>
      <c r="L1374" s="382" t="s">
        <v>21</v>
      </c>
      <c r="M1374" s="30"/>
      <c r="N1374" s="30">
        <v>69.400000000000006</v>
      </c>
      <c r="O1374" s="287">
        <f t="shared" si="374"/>
        <v>0</v>
      </c>
      <c r="P1374" s="287">
        <f t="shared" si="375"/>
        <v>0</v>
      </c>
      <c r="Q1374" s="288"/>
      <c r="R1374" s="243"/>
      <c r="S1374" s="378" t="str">
        <f t="shared" si="376"/>
        <v/>
      </c>
      <c r="U1374" s="722"/>
    </row>
    <row r="1375" spans="2:21" ht="25.5" hidden="1" x14ac:dyDescent="0.2">
      <c r="B1375" s="595">
        <v>91980</v>
      </c>
      <c r="C1375" s="596" t="s">
        <v>817</v>
      </c>
      <c r="D1375" s="597" t="s">
        <v>1468</v>
      </c>
      <c r="E1375" s="589"/>
      <c r="F1375" s="590"/>
      <c r="G1375" s="591"/>
      <c r="H1375" s="592"/>
      <c r="I1375" s="631">
        <v>43.66</v>
      </c>
      <c r="J1375" s="631">
        <f t="shared" si="377"/>
        <v>43.66</v>
      </c>
      <c r="K1375" s="593">
        <f t="shared" si="373"/>
        <v>55.34</v>
      </c>
      <c r="L1375" s="382" t="s">
        <v>21</v>
      </c>
      <c r="M1375" s="30"/>
      <c r="N1375" s="30">
        <v>55.34</v>
      </c>
      <c r="O1375" s="287">
        <f t="shared" si="374"/>
        <v>0</v>
      </c>
      <c r="P1375" s="287">
        <f t="shared" si="375"/>
        <v>0</v>
      </c>
      <c r="Q1375" s="288"/>
      <c r="R1375" s="243"/>
      <c r="S1375" s="378" t="str">
        <f t="shared" si="376"/>
        <v/>
      </c>
      <c r="U1375" s="722"/>
    </row>
    <row r="1376" spans="2:21" ht="25.5" hidden="1" x14ac:dyDescent="0.2">
      <c r="B1376" s="595">
        <v>91981</v>
      </c>
      <c r="C1376" s="596" t="s">
        <v>817</v>
      </c>
      <c r="D1376" s="597" t="s">
        <v>1469</v>
      </c>
      <c r="E1376" s="589"/>
      <c r="F1376" s="590"/>
      <c r="G1376" s="591"/>
      <c r="H1376" s="592"/>
      <c r="I1376" s="631">
        <v>53.13</v>
      </c>
      <c r="J1376" s="631">
        <f t="shared" si="377"/>
        <v>53.13</v>
      </c>
      <c r="K1376" s="593">
        <f t="shared" si="373"/>
        <v>67.34</v>
      </c>
      <c r="L1376" s="382" t="s">
        <v>21</v>
      </c>
      <c r="M1376" s="30"/>
      <c r="N1376" s="30">
        <v>67.34</v>
      </c>
      <c r="O1376" s="287">
        <f t="shared" si="374"/>
        <v>0</v>
      </c>
      <c r="P1376" s="287">
        <f t="shared" si="375"/>
        <v>0</v>
      </c>
      <c r="Q1376" s="288"/>
      <c r="R1376" s="243"/>
      <c r="S1376" s="378" t="str">
        <f t="shared" si="376"/>
        <v/>
      </c>
      <c r="U1376" s="722"/>
    </row>
    <row r="1377" spans="2:21" ht="25.5" hidden="1" x14ac:dyDescent="0.2">
      <c r="B1377" s="595">
        <v>91978</v>
      </c>
      <c r="C1377" s="596" t="s">
        <v>817</v>
      </c>
      <c r="D1377" s="597" t="s">
        <v>1466</v>
      </c>
      <c r="E1377" s="589"/>
      <c r="F1377" s="590"/>
      <c r="G1377" s="591"/>
      <c r="H1377" s="592"/>
      <c r="I1377" s="631">
        <v>45.28</v>
      </c>
      <c r="J1377" s="631">
        <f t="shared" si="377"/>
        <v>45.28</v>
      </c>
      <c r="K1377" s="593">
        <f t="shared" si="373"/>
        <v>57.39</v>
      </c>
      <c r="L1377" s="382" t="s">
        <v>21</v>
      </c>
      <c r="M1377" s="30"/>
      <c r="N1377" s="30">
        <v>57.39</v>
      </c>
      <c r="O1377" s="287">
        <f t="shared" si="374"/>
        <v>0</v>
      </c>
      <c r="P1377" s="287">
        <f t="shared" si="375"/>
        <v>0</v>
      </c>
      <c r="Q1377" s="288"/>
      <c r="R1377" s="243"/>
      <c r="S1377" s="378" t="str">
        <f t="shared" si="376"/>
        <v/>
      </c>
      <c r="U1377" s="722"/>
    </row>
    <row r="1378" spans="2:21" ht="25.5" hidden="1" x14ac:dyDescent="0.2">
      <c r="B1378" s="595">
        <v>91979</v>
      </c>
      <c r="C1378" s="596" t="s">
        <v>817</v>
      </c>
      <c r="D1378" s="597" t="s">
        <v>1467</v>
      </c>
      <c r="E1378" s="589"/>
      <c r="F1378" s="590"/>
      <c r="G1378" s="591"/>
      <c r="H1378" s="592"/>
      <c r="I1378" s="631">
        <v>54.75</v>
      </c>
      <c r="J1378" s="631">
        <f t="shared" si="377"/>
        <v>54.75</v>
      </c>
      <c r="K1378" s="593">
        <f t="shared" si="373"/>
        <v>69.400000000000006</v>
      </c>
      <c r="L1378" s="382" t="s">
        <v>21</v>
      </c>
      <c r="M1378" s="30"/>
      <c r="N1378" s="30">
        <v>69.400000000000006</v>
      </c>
      <c r="O1378" s="287">
        <f t="shared" si="374"/>
        <v>0</v>
      </c>
      <c r="P1378" s="287">
        <f t="shared" si="375"/>
        <v>0</v>
      </c>
      <c r="Q1378" s="288"/>
      <c r="R1378" s="243"/>
      <c r="S1378" s="378" t="str">
        <f t="shared" si="376"/>
        <v/>
      </c>
      <c r="U1378" s="722"/>
    </row>
    <row r="1379" spans="2:21" ht="25.5" hidden="1" x14ac:dyDescent="0.2">
      <c r="B1379" s="595">
        <v>91980</v>
      </c>
      <c r="C1379" s="596" t="s">
        <v>817</v>
      </c>
      <c r="D1379" s="597" t="s">
        <v>1468</v>
      </c>
      <c r="E1379" s="589"/>
      <c r="F1379" s="590"/>
      <c r="G1379" s="591"/>
      <c r="H1379" s="592"/>
      <c r="I1379" s="631">
        <v>43.66</v>
      </c>
      <c r="J1379" s="631">
        <f t="shared" si="377"/>
        <v>43.66</v>
      </c>
      <c r="K1379" s="593">
        <f t="shared" si="373"/>
        <v>55.34</v>
      </c>
      <c r="L1379" s="382" t="s">
        <v>21</v>
      </c>
      <c r="M1379" s="30"/>
      <c r="N1379" s="30">
        <v>55.34</v>
      </c>
      <c r="O1379" s="287">
        <f t="shared" si="374"/>
        <v>0</v>
      </c>
      <c r="P1379" s="287">
        <f t="shared" si="375"/>
        <v>0</v>
      </c>
      <c r="Q1379" s="288"/>
      <c r="R1379" s="243"/>
      <c r="S1379" s="378" t="str">
        <f t="shared" si="376"/>
        <v/>
      </c>
      <c r="U1379" s="722"/>
    </row>
    <row r="1380" spans="2:21" ht="25.5" hidden="1" x14ac:dyDescent="0.2">
      <c r="B1380" s="595">
        <v>91981</v>
      </c>
      <c r="C1380" s="596" t="s">
        <v>817</v>
      </c>
      <c r="D1380" s="597" t="s">
        <v>1469</v>
      </c>
      <c r="E1380" s="589"/>
      <c r="F1380" s="590"/>
      <c r="G1380" s="591"/>
      <c r="H1380" s="592"/>
      <c r="I1380" s="631">
        <v>53.13</v>
      </c>
      <c r="J1380" s="631">
        <f t="shared" si="377"/>
        <v>53.13</v>
      </c>
      <c r="K1380" s="593">
        <f t="shared" si="373"/>
        <v>67.34</v>
      </c>
      <c r="L1380" s="382" t="s">
        <v>21</v>
      </c>
      <c r="M1380" s="30"/>
      <c r="N1380" s="30">
        <v>67.34</v>
      </c>
      <c r="O1380" s="287">
        <f t="shared" si="374"/>
        <v>0</v>
      </c>
      <c r="P1380" s="287">
        <f t="shared" si="375"/>
        <v>0</v>
      </c>
      <c r="Q1380" s="288"/>
      <c r="R1380" s="243"/>
      <c r="S1380" s="378" t="str">
        <f t="shared" si="376"/>
        <v/>
      </c>
      <c r="U1380" s="722"/>
    </row>
    <row r="1381" spans="2:21" ht="25.5" hidden="1" x14ac:dyDescent="0.2">
      <c r="B1381" s="595">
        <v>91982</v>
      </c>
      <c r="C1381" s="596" t="s">
        <v>817</v>
      </c>
      <c r="D1381" s="597" t="s">
        <v>1470</v>
      </c>
      <c r="E1381" s="589"/>
      <c r="F1381" s="590"/>
      <c r="G1381" s="591"/>
      <c r="H1381" s="592"/>
      <c r="I1381" s="631">
        <v>113.89</v>
      </c>
      <c r="J1381" s="631">
        <f t="shared" si="377"/>
        <v>113.89</v>
      </c>
      <c r="K1381" s="593">
        <f t="shared" si="373"/>
        <v>144.36000000000001</v>
      </c>
      <c r="L1381" s="382" t="s">
        <v>21</v>
      </c>
      <c r="M1381" s="30"/>
      <c r="N1381" s="30">
        <v>144.36000000000001</v>
      </c>
      <c r="O1381" s="287">
        <f t="shared" si="374"/>
        <v>0</v>
      </c>
      <c r="P1381" s="287">
        <f t="shared" si="375"/>
        <v>0</v>
      </c>
      <c r="Q1381" s="288"/>
      <c r="R1381" s="243"/>
      <c r="S1381" s="378" t="str">
        <f t="shared" si="376"/>
        <v/>
      </c>
      <c r="U1381" s="722"/>
    </row>
    <row r="1382" spans="2:21" ht="25.5" hidden="1" x14ac:dyDescent="0.2">
      <c r="B1382" s="595">
        <v>91983</v>
      </c>
      <c r="C1382" s="596" t="s">
        <v>817</v>
      </c>
      <c r="D1382" s="597" t="s">
        <v>1471</v>
      </c>
      <c r="E1382" s="589"/>
      <c r="F1382" s="590"/>
      <c r="G1382" s="591"/>
      <c r="H1382" s="592"/>
      <c r="I1382" s="631">
        <v>123.36</v>
      </c>
      <c r="J1382" s="631">
        <f t="shared" si="377"/>
        <v>123.36</v>
      </c>
      <c r="K1382" s="593">
        <f t="shared" si="373"/>
        <v>156.36000000000001</v>
      </c>
      <c r="L1382" s="382" t="s">
        <v>21</v>
      </c>
      <c r="M1382" s="30"/>
      <c r="N1382" s="30">
        <v>156.36000000000001</v>
      </c>
      <c r="O1382" s="287">
        <f t="shared" si="374"/>
        <v>0</v>
      </c>
      <c r="P1382" s="287">
        <f t="shared" si="375"/>
        <v>0</v>
      </c>
      <c r="Q1382" s="288"/>
      <c r="R1382" s="243"/>
      <c r="S1382" s="378" t="str">
        <f t="shared" si="376"/>
        <v/>
      </c>
      <c r="U1382" s="722"/>
    </row>
    <row r="1383" spans="2:21" ht="25.5" hidden="1" x14ac:dyDescent="0.2">
      <c r="B1383" s="595">
        <v>91984</v>
      </c>
      <c r="C1383" s="596" t="s">
        <v>817</v>
      </c>
      <c r="D1383" s="597" t="s">
        <v>1472</v>
      </c>
      <c r="E1383" s="589"/>
      <c r="F1383" s="590"/>
      <c r="G1383" s="591"/>
      <c r="H1383" s="592"/>
      <c r="I1383" s="631">
        <v>19.14</v>
      </c>
      <c r="J1383" s="631">
        <f t="shared" si="377"/>
        <v>19.14</v>
      </c>
      <c r="K1383" s="593">
        <f t="shared" si="373"/>
        <v>24.26</v>
      </c>
      <c r="L1383" s="382" t="s">
        <v>21</v>
      </c>
      <c r="M1383" s="30"/>
      <c r="N1383" s="30">
        <v>24.26</v>
      </c>
      <c r="O1383" s="287">
        <f t="shared" si="374"/>
        <v>0</v>
      </c>
      <c r="P1383" s="287">
        <f t="shared" si="375"/>
        <v>0</v>
      </c>
      <c r="Q1383" s="288"/>
      <c r="R1383" s="243"/>
      <c r="S1383" s="378" t="str">
        <f t="shared" si="376"/>
        <v/>
      </c>
      <c r="U1383" s="722"/>
    </row>
    <row r="1384" spans="2:21" ht="25.5" hidden="1" x14ac:dyDescent="0.2">
      <c r="B1384" s="595">
        <v>91985</v>
      </c>
      <c r="C1384" s="596" t="s">
        <v>817</v>
      </c>
      <c r="D1384" s="597" t="s">
        <v>1473</v>
      </c>
      <c r="E1384" s="589"/>
      <c r="F1384" s="590"/>
      <c r="G1384" s="591"/>
      <c r="H1384" s="592"/>
      <c r="I1384" s="631">
        <v>28.61</v>
      </c>
      <c r="J1384" s="631">
        <f t="shared" si="377"/>
        <v>28.61</v>
      </c>
      <c r="K1384" s="593">
        <f t="shared" si="373"/>
        <v>36.26</v>
      </c>
      <c r="L1384" s="382" t="s">
        <v>21</v>
      </c>
      <c r="M1384" s="30"/>
      <c r="N1384" s="30">
        <v>36.26</v>
      </c>
      <c r="O1384" s="287">
        <f t="shared" si="374"/>
        <v>0</v>
      </c>
      <c r="P1384" s="287">
        <f t="shared" si="375"/>
        <v>0</v>
      </c>
      <c r="Q1384" s="288"/>
      <c r="R1384" s="243"/>
      <c r="S1384" s="378" t="str">
        <f t="shared" si="376"/>
        <v/>
      </c>
      <c r="U1384" s="722"/>
    </row>
    <row r="1385" spans="2:21" ht="25.5" hidden="1" x14ac:dyDescent="0.2">
      <c r="B1385" s="595">
        <v>91986</v>
      </c>
      <c r="C1385" s="596" t="s">
        <v>817</v>
      </c>
      <c r="D1385" s="597" t="s">
        <v>1474</v>
      </c>
      <c r="E1385" s="589"/>
      <c r="F1385" s="590"/>
      <c r="G1385" s="591"/>
      <c r="H1385" s="592"/>
      <c r="I1385" s="631">
        <v>42.5</v>
      </c>
      <c r="J1385" s="631">
        <f t="shared" si="377"/>
        <v>42.5</v>
      </c>
      <c r="K1385" s="593">
        <f t="shared" si="373"/>
        <v>53.87</v>
      </c>
      <c r="L1385" s="382" t="s">
        <v>21</v>
      </c>
      <c r="M1385" s="30"/>
      <c r="N1385" s="30">
        <v>53.87</v>
      </c>
      <c r="O1385" s="287">
        <f t="shared" si="374"/>
        <v>0</v>
      </c>
      <c r="P1385" s="287">
        <f t="shared" si="375"/>
        <v>0</v>
      </c>
      <c r="Q1385" s="288"/>
      <c r="R1385" s="243"/>
      <c r="S1385" s="378" t="str">
        <f t="shared" si="376"/>
        <v/>
      </c>
      <c r="U1385" s="722"/>
    </row>
    <row r="1386" spans="2:21" ht="25.5" hidden="1" x14ac:dyDescent="0.2">
      <c r="B1386" s="595">
        <v>91987</v>
      </c>
      <c r="C1386" s="596" t="s">
        <v>817</v>
      </c>
      <c r="D1386" s="597" t="s">
        <v>1475</v>
      </c>
      <c r="E1386" s="589"/>
      <c r="F1386" s="590"/>
      <c r="G1386" s="591"/>
      <c r="H1386" s="592"/>
      <c r="I1386" s="631">
        <v>51.97</v>
      </c>
      <c r="J1386" s="631">
        <f t="shared" si="377"/>
        <v>51.97</v>
      </c>
      <c r="K1386" s="593">
        <f t="shared" si="373"/>
        <v>65.87</v>
      </c>
      <c r="L1386" s="382" t="s">
        <v>21</v>
      </c>
      <c r="M1386" s="30"/>
      <c r="N1386" s="30">
        <v>65.87</v>
      </c>
      <c r="O1386" s="287">
        <f t="shared" si="374"/>
        <v>0</v>
      </c>
      <c r="P1386" s="287">
        <f t="shared" si="375"/>
        <v>0</v>
      </c>
      <c r="Q1386" s="288"/>
      <c r="R1386" s="243"/>
      <c r="S1386" s="378" t="str">
        <f t="shared" si="376"/>
        <v/>
      </c>
      <c r="U1386" s="722"/>
    </row>
    <row r="1387" spans="2:21" ht="25.5" hidden="1" x14ac:dyDescent="0.2">
      <c r="B1387" s="595">
        <v>91988</v>
      </c>
      <c r="C1387" s="596" t="s">
        <v>817</v>
      </c>
      <c r="D1387" s="597" t="s">
        <v>1476</v>
      </c>
      <c r="E1387" s="589"/>
      <c r="F1387" s="590"/>
      <c r="G1387" s="591"/>
      <c r="H1387" s="592"/>
      <c r="I1387" s="631">
        <v>24.56</v>
      </c>
      <c r="J1387" s="631">
        <f t="shared" si="377"/>
        <v>24.56</v>
      </c>
      <c r="K1387" s="593">
        <f t="shared" si="373"/>
        <v>31.13</v>
      </c>
      <c r="L1387" s="382" t="s">
        <v>21</v>
      </c>
      <c r="M1387" s="30"/>
      <c r="N1387" s="30">
        <v>31.13</v>
      </c>
      <c r="O1387" s="287">
        <f t="shared" si="374"/>
        <v>0</v>
      </c>
      <c r="P1387" s="287">
        <f t="shared" si="375"/>
        <v>0</v>
      </c>
      <c r="Q1387" s="288"/>
      <c r="R1387" s="243"/>
      <c r="S1387" s="378" t="str">
        <f t="shared" si="376"/>
        <v/>
      </c>
      <c r="U1387" s="722"/>
    </row>
    <row r="1388" spans="2:21" ht="25.5" hidden="1" x14ac:dyDescent="0.2">
      <c r="B1388" s="595">
        <v>91989</v>
      </c>
      <c r="C1388" s="596" t="s">
        <v>817</v>
      </c>
      <c r="D1388" s="597" t="s">
        <v>1477</v>
      </c>
      <c r="E1388" s="589"/>
      <c r="F1388" s="590"/>
      <c r="G1388" s="591"/>
      <c r="H1388" s="592"/>
      <c r="I1388" s="631">
        <v>34.03</v>
      </c>
      <c r="J1388" s="631">
        <f t="shared" si="377"/>
        <v>34.03</v>
      </c>
      <c r="K1388" s="593">
        <f t="shared" si="373"/>
        <v>43.13</v>
      </c>
      <c r="L1388" s="382" t="s">
        <v>21</v>
      </c>
      <c r="M1388" s="30"/>
      <c r="N1388" s="30">
        <v>43.13</v>
      </c>
      <c r="O1388" s="287">
        <f t="shared" si="374"/>
        <v>0</v>
      </c>
      <c r="P1388" s="287">
        <f t="shared" si="375"/>
        <v>0</v>
      </c>
      <c r="Q1388" s="288"/>
      <c r="R1388" s="243"/>
      <c r="S1388" s="378" t="str">
        <f t="shared" si="376"/>
        <v/>
      </c>
      <c r="U1388" s="722"/>
    </row>
    <row r="1389" spans="2:21" ht="25.5" hidden="1" x14ac:dyDescent="0.2">
      <c r="B1389" s="595">
        <v>91990</v>
      </c>
      <c r="C1389" s="596" t="s">
        <v>817</v>
      </c>
      <c r="D1389" s="597" t="s">
        <v>1478</v>
      </c>
      <c r="E1389" s="589"/>
      <c r="F1389" s="590"/>
      <c r="G1389" s="591"/>
      <c r="H1389" s="592"/>
      <c r="I1389" s="631">
        <v>35.67</v>
      </c>
      <c r="J1389" s="631">
        <f t="shared" si="377"/>
        <v>35.67</v>
      </c>
      <c r="K1389" s="593">
        <f t="shared" si="373"/>
        <v>45.21</v>
      </c>
      <c r="L1389" s="382" t="s">
        <v>21</v>
      </c>
      <c r="M1389" s="30"/>
      <c r="N1389" s="30">
        <v>45.21</v>
      </c>
      <c r="O1389" s="287">
        <f t="shared" si="374"/>
        <v>0</v>
      </c>
      <c r="P1389" s="287">
        <f t="shared" si="375"/>
        <v>0</v>
      </c>
      <c r="Q1389" s="288"/>
      <c r="R1389" s="243"/>
      <c r="S1389" s="378" t="str">
        <f t="shared" si="376"/>
        <v/>
      </c>
      <c r="U1389" s="722"/>
    </row>
    <row r="1390" spans="2:21" ht="25.5" hidden="1" x14ac:dyDescent="0.2">
      <c r="B1390" s="595">
        <v>91991</v>
      </c>
      <c r="C1390" s="596" t="s">
        <v>817</v>
      </c>
      <c r="D1390" s="597" t="s">
        <v>1479</v>
      </c>
      <c r="E1390" s="589"/>
      <c r="F1390" s="590"/>
      <c r="G1390" s="591"/>
      <c r="H1390" s="592"/>
      <c r="I1390" s="631">
        <v>38.6</v>
      </c>
      <c r="J1390" s="631">
        <f t="shared" si="377"/>
        <v>38.6</v>
      </c>
      <c r="K1390" s="593">
        <f t="shared" si="373"/>
        <v>48.93</v>
      </c>
      <c r="L1390" s="382" t="s">
        <v>21</v>
      </c>
      <c r="M1390" s="30"/>
      <c r="N1390" s="30">
        <v>48.93</v>
      </c>
      <c r="O1390" s="287">
        <f t="shared" si="374"/>
        <v>0</v>
      </c>
      <c r="P1390" s="287">
        <f t="shared" si="375"/>
        <v>0</v>
      </c>
      <c r="Q1390" s="288"/>
      <c r="R1390" s="243"/>
      <c r="S1390" s="378" t="str">
        <f t="shared" si="376"/>
        <v/>
      </c>
      <c r="U1390" s="722"/>
    </row>
    <row r="1391" spans="2:21" ht="25.5" hidden="1" x14ac:dyDescent="0.2">
      <c r="B1391" s="595">
        <v>91992</v>
      </c>
      <c r="C1391" s="596" t="s">
        <v>817</v>
      </c>
      <c r="D1391" s="597" t="s">
        <v>1480</v>
      </c>
      <c r="E1391" s="589"/>
      <c r="F1391" s="590"/>
      <c r="G1391" s="591"/>
      <c r="H1391" s="592"/>
      <c r="I1391" s="631">
        <v>45.14</v>
      </c>
      <c r="J1391" s="631">
        <f t="shared" si="377"/>
        <v>45.14</v>
      </c>
      <c r="K1391" s="593">
        <f t="shared" ref="K1391:K1454" si="378">IF(ISBLANK(I1391),0,ROUND(J1391*(1+$F$10)*(1+$F$11*E1391),2))</f>
        <v>57.21</v>
      </c>
      <c r="L1391" s="382" t="s">
        <v>21</v>
      </c>
      <c r="M1391" s="30"/>
      <c r="N1391" s="30">
        <v>57.21</v>
      </c>
      <c r="O1391" s="287">
        <f t="shared" ref="O1391:O1454" si="379">IF(ISBLANK(M1391),0,ROUND(K1391*M1391,2))</f>
        <v>0</v>
      </c>
      <c r="P1391" s="287">
        <f t="shared" ref="P1391:P1454" si="380">IF(ISBLANK(N1391),0,ROUND(M1391*N1391,2))</f>
        <v>0</v>
      </c>
      <c r="Q1391" s="288"/>
      <c r="R1391" s="243"/>
      <c r="S1391" s="378" t="str">
        <f t="shared" si="376"/>
        <v/>
      </c>
      <c r="U1391" s="722"/>
    </row>
    <row r="1392" spans="2:21" ht="25.5" hidden="1" x14ac:dyDescent="0.2">
      <c r="B1392" s="595">
        <v>91993</v>
      </c>
      <c r="C1392" s="596" t="s">
        <v>817</v>
      </c>
      <c r="D1392" s="597" t="s">
        <v>1481</v>
      </c>
      <c r="E1392" s="589"/>
      <c r="F1392" s="590"/>
      <c r="G1392" s="591"/>
      <c r="H1392" s="592"/>
      <c r="I1392" s="631">
        <v>48.07</v>
      </c>
      <c r="J1392" s="631">
        <f t="shared" si="377"/>
        <v>48.07</v>
      </c>
      <c r="K1392" s="593">
        <f t="shared" si="378"/>
        <v>60.93</v>
      </c>
      <c r="L1392" s="382" t="s">
        <v>21</v>
      </c>
      <c r="M1392" s="30"/>
      <c r="N1392" s="30">
        <v>60.93</v>
      </c>
      <c r="O1392" s="287">
        <f t="shared" si="379"/>
        <v>0</v>
      </c>
      <c r="P1392" s="287">
        <f t="shared" si="380"/>
        <v>0</v>
      </c>
      <c r="Q1392" s="288"/>
      <c r="R1392" s="243"/>
      <c r="S1392" s="378" t="str">
        <f t="shared" si="376"/>
        <v/>
      </c>
      <c r="U1392" s="722"/>
    </row>
    <row r="1393" spans="2:21" ht="25.5" hidden="1" x14ac:dyDescent="0.2">
      <c r="B1393" s="595">
        <v>91994</v>
      </c>
      <c r="C1393" s="596" t="s">
        <v>817</v>
      </c>
      <c r="D1393" s="597" t="s">
        <v>1482</v>
      </c>
      <c r="E1393" s="589"/>
      <c r="F1393" s="590"/>
      <c r="G1393" s="591"/>
      <c r="H1393" s="592"/>
      <c r="I1393" s="631">
        <v>26.11</v>
      </c>
      <c r="J1393" s="631">
        <f t="shared" si="377"/>
        <v>26.11</v>
      </c>
      <c r="K1393" s="593">
        <f t="shared" si="378"/>
        <v>33.090000000000003</v>
      </c>
      <c r="L1393" s="382" t="s">
        <v>21</v>
      </c>
      <c r="M1393" s="30"/>
      <c r="N1393" s="30">
        <v>33.090000000000003</v>
      </c>
      <c r="O1393" s="287">
        <f t="shared" si="379"/>
        <v>0</v>
      </c>
      <c r="P1393" s="287">
        <f t="shared" si="380"/>
        <v>0</v>
      </c>
      <c r="Q1393" s="288"/>
      <c r="R1393" s="243"/>
      <c r="S1393" s="378" t="str">
        <f t="shared" si="376"/>
        <v/>
      </c>
      <c r="U1393" s="722"/>
    </row>
    <row r="1394" spans="2:21" ht="25.5" hidden="1" x14ac:dyDescent="0.2">
      <c r="B1394" s="595">
        <v>91995</v>
      </c>
      <c r="C1394" s="596" t="s">
        <v>817</v>
      </c>
      <c r="D1394" s="597" t="s">
        <v>1483</v>
      </c>
      <c r="E1394" s="589"/>
      <c r="F1394" s="590"/>
      <c r="G1394" s="591"/>
      <c r="H1394" s="592"/>
      <c r="I1394" s="631">
        <v>29.04</v>
      </c>
      <c r="J1394" s="631">
        <f t="shared" si="377"/>
        <v>29.04</v>
      </c>
      <c r="K1394" s="593">
        <f t="shared" si="378"/>
        <v>36.81</v>
      </c>
      <c r="L1394" s="382" t="s">
        <v>21</v>
      </c>
      <c r="M1394" s="30"/>
      <c r="N1394" s="30">
        <v>36.81</v>
      </c>
      <c r="O1394" s="287">
        <f t="shared" si="379"/>
        <v>0</v>
      </c>
      <c r="P1394" s="287">
        <f t="shared" si="380"/>
        <v>0</v>
      </c>
      <c r="Q1394" s="288"/>
      <c r="R1394" s="243"/>
      <c r="S1394" s="378" t="str">
        <f t="shared" si="376"/>
        <v/>
      </c>
      <c r="U1394" s="722"/>
    </row>
    <row r="1395" spans="2:21" ht="25.5" hidden="1" x14ac:dyDescent="0.2">
      <c r="B1395" s="595">
        <v>91996</v>
      </c>
      <c r="C1395" s="596" t="s">
        <v>817</v>
      </c>
      <c r="D1395" s="597" t="s">
        <v>1484</v>
      </c>
      <c r="E1395" s="589"/>
      <c r="F1395" s="590"/>
      <c r="G1395" s="591"/>
      <c r="H1395" s="592"/>
      <c r="I1395" s="631">
        <v>35.58</v>
      </c>
      <c r="J1395" s="631">
        <f t="shared" si="377"/>
        <v>35.58</v>
      </c>
      <c r="K1395" s="593">
        <f t="shared" si="378"/>
        <v>45.1</v>
      </c>
      <c r="L1395" s="382" t="s">
        <v>21</v>
      </c>
      <c r="M1395" s="30"/>
      <c r="N1395" s="30">
        <v>45.1</v>
      </c>
      <c r="O1395" s="287">
        <f t="shared" si="379"/>
        <v>0</v>
      </c>
      <c r="P1395" s="287">
        <f t="shared" si="380"/>
        <v>0</v>
      </c>
      <c r="Q1395" s="288"/>
      <c r="R1395" s="243"/>
      <c r="S1395" s="378" t="str">
        <f t="shared" si="376"/>
        <v/>
      </c>
      <c r="U1395" s="722"/>
    </row>
    <row r="1396" spans="2:21" ht="25.5" hidden="1" x14ac:dyDescent="0.2">
      <c r="B1396" s="595">
        <v>91997</v>
      </c>
      <c r="C1396" s="596" t="s">
        <v>817</v>
      </c>
      <c r="D1396" s="597" t="s">
        <v>1485</v>
      </c>
      <c r="E1396" s="589"/>
      <c r="F1396" s="590"/>
      <c r="G1396" s="591"/>
      <c r="H1396" s="592"/>
      <c r="I1396" s="631">
        <v>38.51</v>
      </c>
      <c r="J1396" s="631">
        <f t="shared" si="377"/>
        <v>38.51</v>
      </c>
      <c r="K1396" s="593">
        <f t="shared" si="378"/>
        <v>48.81</v>
      </c>
      <c r="L1396" s="382" t="s">
        <v>21</v>
      </c>
      <c r="M1396" s="30"/>
      <c r="N1396" s="30">
        <v>48.81</v>
      </c>
      <c r="O1396" s="287">
        <f t="shared" si="379"/>
        <v>0</v>
      </c>
      <c r="P1396" s="287">
        <f t="shared" si="380"/>
        <v>0</v>
      </c>
      <c r="Q1396" s="288"/>
      <c r="R1396" s="243"/>
      <c r="S1396" s="378" t="str">
        <f t="shared" si="376"/>
        <v/>
      </c>
      <c r="U1396" s="722"/>
    </row>
    <row r="1397" spans="2:21" ht="25.5" hidden="1" x14ac:dyDescent="0.2">
      <c r="B1397" s="595">
        <v>91998</v>
      </c>
      <c r="C1397" s="596" t="s">
        <v>817</v>
      </c>
      <c r="D1397" s="597" t="s">
        <v>1486</v>
      </c>
      <c r="E1397" s="589"/>
      <c r="F1397" s="590"/>
      <c r="G1397" s="591"/>
      <c r="H1397" s="592"/>
      <c r="I1397" s="631">
        <v>22.4</v>
      </c>
      <c r="J1397" s="631">
        <f t="shared" si="377"/>
        <v>22.4</v>
      </c>
      <c r="K1397" s="593">
        <f t="shared" si="378"/>
        <v>28.39</v>
      </c>
      <c r="L1397" s="382" t="s">
        <v>21</v>
      </c>
      <c r="M1397" s="30"/>
      <c r="N1397" s="30">
        <v>28.39</v>
      </c>
      <c r="O1397" s="287">
        <f t="shared" si="379"/>
        <v>0</v>
      </c>
      <c r="P1397" s="287">
        <f t="shared" si="380"/>
        <v>0</v>
      </c>
      <c r="Q1397" s="288"/>
      <c r="R1397" s="243"/>
      <c r="S1397" s="378" t="str">
        <f t="shared" ref="S1397:S1460" si="381">IF(R1397="x","x",IF(R1397="y","x",IF(R1397="xy","x",IF(P1397&gt;0,"x",""))))</f>
        <v/>
      </c>
      <c r="U1397" s="722"/>
    </row>
    <row r="1398" spans="2:21" ht="25.5" hidden="1" x14ac:dyDescent="0.2">
      <c r="B1398" s="595">
        <v>91999</v>
      </c>
      <c r="C1398" s="596" t="s">
        <v>817</v>
      </c>
      <c r="D1398" s="597" t="s">
        <v>1487</v>
      </c>
      <c r="E1398" s="589"/>
      <c r="F1398" s="590"/>
      <c r="G1398" s="591"/>
      <c r="H1398" s="592"/>
      <c r="I1398" s="631">
        <v>25.33</v>
      </c>
      <c r="J1398" s="631">
        <f t="shared" si="377"/>
        <v>25.33</v>
      </c>
      <c r="K1398" s="593">
        <f t="shared" si="378"/>
        <v>32.11</v>
      </c>
      <c r="L1398" s="382" t="s">
        <v>21</v>
      </c>
      <c r="M1398" s="30"/>
      <c r="N1398" s="30">
        <v>32.11</v>
      </c>
      <c r="O1398" s="287">
        <f t="shared" si="379"/>
        <v>0</v>
      </c>
      <c r="P1398" s="287">
        <f t="shared" si="380"/>
        <v>0</v>
      </c>
      <c r="Q1398" s="288"/>
      <c r="R1398" s="243"/>
      <c r="S1398" s="378" t="str">
        <f t="shared" si="381"/>
        <v/>
      </c>
      <c r="U1398" s="722"/>
    </row>
    <row r="1399" spans="2:21" ht="25.5" hidden="1" x14ac:dyDescent="0.2">
      <c r="B1399" s="595">
        <v>92000</v>
      </c>
      <c r="C1399" s="596" t="s">
        <v>817</v>
      </c>
      <c r="D1399" s="597" t="s">
        <v>1488</v>
      </c>
      <c r="E1399" s="589"/>
      <c r="F1399" s="590"/>
      <c r="G1399" s="591"/>
      <c r="H1399" s="592"/>
      <c r="I1399" s="631">
        <v>31.87</v>
      </c>
      <c r="J1399" s="631">
        <f t="shared" si="377"/>
        <v>31.87</v>
      </c>
      <c r="K1399" s="593">
        <f t="shared" si="378"/>
        <v>40.4</v>
      </c>
      <c r="L1399" s="382" t="s">
        <v>21</v>
      </c>
      <c r="M1399" s="30"/>
      <c r="N1399" s="30">
        <v>40.4</v>
      </c>
      <c r="O1399" s="287">
        <f t="shared" si="379"/>
        <v>0</v>
      </c>
      <c r="P1399" s="287">
        <f t="shared" si="380"/>
        <v>0</v>
      </c>
      <c r="Q1399" s="288"/>
      <c r="R1399" s="243"/>
      <c r="S1399" s="378" t="str">
        <f t="shared" si="381"/>
        <v/>
      </c>
      <c r="U1399" s="722"/>
    </row>
    <row r="1400" spans="2:21" ht="25.5" hidden="1" x14ac:dyDescent="0.2">
      <c r="B1400" s="595">
        <v>92001</v>
      </c>
      <c r="C1400" s="596" t="s">
        <v>817</v>
      </c>
      <c r="D1400" s="597" t="s">
        <v>1489</v>
      </c>
      <c r="E1400" s="589"/>
      <c r="F1400" s="590"/>
      <c r="G1400" s="591"/>
      <c r="H1400" s="592"/>
      <c r="I1400" s="631">
        <v>34.799999999999997</v>
      </c>
      <c r="J1400" s="631">
        <f t="shared" si="377"/>
        <v>34.799999999999997</v>
      </c>
      <c r="K1400" s="593">
        <f t="shared" si="378"/>
        <v>44.11</v>
      </c>
      <c r="L1400" s="382" t="s">
        <v>21</v>
      </c>
      <c r="M1400" s="30"/>
      <c r="N1400" s="30">
        <v>44.11</v>
      </c>
      <c r="O1400" s="287">
        <f t="shared" si="379"/>
        <v>0</v>
      </c>
      <c r="P1400" s="287">
        <f t="shared" si="380"/>
        <v>0</v>
      </c>
      <c r="Q1400" s="288"/>
      <c r="R1400" s="243"/>
      <c r="S1400" s="378" t="str">
        <f t="shared" si="381"/>
        <v/>
      </c>
      <c r="U1400" s="722"/>
    </row>
    <row r="1401" spans="2:21" ht="25.5" hidden="1" x14ac:dyDescent="0.2">
      <c r="B1401" s="595">
        <v>92002</v>
      </c>
      <c r="C1401" s="596" t="s">
        <v>817</v>
      </c>
      <c r="D1401" s="597" t="s">
        <v>1490</v>
      </c>
      <c r="E1401" s="589"/>
      <c r="F1401" s="590"/>
      <c r="G1401" s="591"/>
      <c r="H1401" s="592"/>
      <c r="I1401" s="631">
        <v>49.13</v>
      </c>
      <c r="J1401" s="631">
        <f t="shared" si="377"/>
        <v>49.13</v>
      </c>
      <c r="K1401" s="593">
        <f t="shared" si="378"/>
        <v>62.27</v>
      </c>
      <c r="L1401" s="382" t="s">
        <v>21</v>
      </c>
      <c r="M1401" s="30"/>
      <c r="N1401" s="30">
        <v>62.27</v>
      </c>
      <c r="O1401" s="287">
        <f t="shared" si="379"/>
        <v>0</v>
      </c>
      <c r="P1401" s="287">
        <f t="shared" si="380"/>
        <v>0</v>
      </c>
      <c r="Q1401" s="288"/>
      <c r="R1401" s="243"/>
      <c r="S1401" s="378" t="str">
        <f t="shared" si="381"/>
        <v/>
      </c>
      <c r="U1401" s="722"/>
    </row>
    <row r="1402" spans="2:21" ht="25.5" hidden="1" x14ac:dyDescent="0.2">
      <c r="B1402" s="595">
        <v>92003</v>
      </c>
      <c r="C1402" s="596" t="s">
        <v>817</v>
      </c>
      <c r="D1402" s="597" t="s">
        <v>1491</v>
      </c>
      <c r="E1402" s="589"/>
      <c r="F1402" s="590"/>
      <c r="G1402" s="591"/>
      <c r="H1402" s="592"/>
      <c r="I1402" s="631">
        <v>54.99</v>
      </c>
      <c r="J1402" s="631">
        <f t="shared" si="377"/>
        <v>54.99</v>
      </c>
      <c r="K1402" s="593">
        <f t="shared" si="378"/>
        <v>69.7</v>
      </c>
      <c r="L1402" s="382" t="s">
        <v>21</v>
      </c>
      <c r="M1402" s="30"/>
      <c r="N1402" s="30">
        <v>69.7</v>
      </c>
      <c r="O1402" s="287">
        <f t="shared" si="379"/>
        <v>0</v>
      </c>
      <c r="P1402" s="287">
        <f t="shared" si="380"/>
        <v>0</v>
      </c>
      <c r="Q1402" s="288"/>
      <c r="R1402" s="243"/>
      <c r="S1402" s="378" t="str">
        <f t="shared" si="381"/>
        <v/>
      </c>
      <c r="U1402" s="722"/>
    </row>
    <row r="1403" spans="2:21" ht="25.5" hidden="1" x14ac:dyDescent="0.2">
      <c r="B1403" s="595">
        <v>92004</v>
      </c>
      <c r="C1403" s="596" t="s">
        <v>817</v>
      </c>
      <c r="D1403" s="597" t="s">
        <v>1492</v>
      </c>
      <c r="E1403" s="589"/>
      <c r="F1403" s="590"/>
      <c r="G1403" s="591"/>
      <c r="H1403" s="592"/>
      <c r="I1403" s="631">
        <v>58.6</v>
      </c>
      <c r="J1403" s="631">
        <f t="shared" si="377"/>
        <v>58.6</v>
      </c>
      <c r="K1403" s="593">
        <f t="shared" si="378"/>
        <v>74.28</v>
      </c>
      <c r="L1403" s="382" t="s">
        <v>21</v>
      </c>
      <c r="M1403" s="30"/>
      <c r="N1403" s="30">
        <v>74.28</v>
      </c>
      <c r="O1403" s="287">
        <f t="shared" si="379"/>
        <v>0</v>
      </c>
      <c r="P1403" s="287">
        <f t="shared" si="380"/>
        <v>0</v>
      </c>
      <c r="Q1403" s="288"/>
      <c r="R1403" s="243"/>
      <c r="S1403" s="378" t="str">
        <f t="shared" si="381"/>
        <v/>
      </c>
      <c r="U1403" s="722"/>
    </row>
    <row r="1404" spans="2:21" ht="25.5" hidden="1" x14ac:dyDescent="0.2">
      <c r="B1404" s="595">
        <v>92005</v>
      </c>
      <c r="C1404" s="596" t="s">
        <v>817</v>
      </c>
      <c r="D1404" s="597" t="s">
        <v>1493</v>
      </c>
      <c r="E1404" s="589"/>
      <c r="F1404" s="590"/>
      <c r="G1404" s="591"/>
      <c r="H1404" s="592"/>
      <c r="I1404" s="631">
        <v>64.459999999999994</v>
      </c>
      <c r="J1404" s="631">
        <f t="shared" si="377"/>
        <v>64.459999999999994</v>
      </c>
      <c r="K1404" s="593">
        <f t="shared" si="378"/>
        <v>81.7</v>
      </c>
      <c r="L1404" s="382" t="s">
        <v>21</v>
      </c>
      <c r="M1404" s="30"/>
      <c r="N1404" s="30">
        <v>81.7</v>
      </c>
      <c r="O1404" s="287">
        <f t="shared" si="379"/>
        <v>0</v>
      </c>
      <c r="P1404" s="287">
        <f t="shared" si="380"/>
        <v>0</v>
      </c>
      <c r="Q1404" s="288"/>
      <c r="R1404" s="243"/>
      <c r="S1404" s="378" t="str">
        <f t="shared" si="381"/>
        <v/>
      </c>
      <c r="U1404" s="722"/>
    </row>
    <row r="1405" spans="2:21" ht="25.5" hidden="1" x14ac:dyDescent="0.2">
      <c r="B1405" s="595">
        <v>92006</v>
      </c>
      <c r="C1405" s="596" t="s">
        <v>817</v>
      </c>
      <c r="D1405" s="597" t="s">
        <v>1494</v>
      </c>
      <c r="E1405" s="589"/>
      <c r="F1405" s="590"/>
      <c r="G1405" s="591"/>
      <c r="H1405" s="592"/>
      <c r="I1405" s="631">
        <v>41.72</v>
      </c>
      <c r="J1405" s="631">
        <f t="shared" si="377"/>
        <v>41.72</v>
      </c>
      <c r="K1405" s="593">
        <f t="shared" si="378"/>
        <v>52.88</v>
      </c>
      <c r="L1405" s="382" t="s">
        <v>21</v>
      </c>
      <c r="M1405" s="30"/>
      <c r="N1405" s="30">
        <v>52.88</v>
      </c>
      <c r="O1405" s="287">
        <f t="shared" si="379"/>
        <v>0</v>
      </c>
      <c r="P1405" s="287">
        <f t="shared" si="380"/>
        <v>0</v>
      </c>
      <c r="Q1405" s="288"/>
      <c r="R1405" s="243"/>
      <c r="S1405" s="378" t="str">
        <f t="shared" si="381"/>
        <v/>
      </c>
      <c r="U1405" s="722"/>
    </row>
    <row r="1406" spans="2:21" ht="25.5" hidden="1" x14ac:dyDescent="0.2">
      <c r="B1406" s="595">
        <v>92007</v>
      </c>
      <c r="C1406" s="596" t="s">
        <v>817</v>
      </c>
      <c r="D1406" s="597" t="s">
        <v>1495</v>
      </c>
      <c r="E1406" s="589"/>
      <c r="F1406" s="590"/>
      <c r="G1406" s="591"/>
      <c r="H1406" s="592"/>
      <c r="I1406" s="631">
        <v>47.58</v>
      </c>
      <c r="J1406" s="631">
        <f t="shared" si="377"/>
        <v>47.58</v>
      </c>
      <c r="K1406" s="593">
        <f t="shared" si="378"/>
        <v>60.31</v>
      </c>
      <c r="L1406" s="382" t="s">
        <v>21</v>
      </c>
      <c r="M1406" s="30"/>
      <c r="N1406" s="30">
        <v>60.31</v>
      </c>
      <c r="O1406" s="287">
        <f t="shared" si="379"/>
        <v>0</v>
      </c>
      <c r="P1406" s="287">
        <f t="shared" si="380"/>
        <v>0</v>
      </c>
      <c r="Q1406" s="288"/>
      <c r="R1406" s="243"/>
      <c r="S1406" s="378" t="str">
        <f t="shared" si="381"/>
        <v/>
      </c>
      <c r="U1406" s="722"/>
    </row>
    <row r="1407" spans="2:21" ht="25.5" hidden="1" x14ac:dyDescent="0.2">
      <c r="B1407" s="595">
        <v>92008</v>
      </c>
      <c r="C1407" s="596" t="s">
        <v>817</v>
      </c>
      <c r="D1407" s="597" t="s">
        <v>1496</v>
      </c>
      <c r="E1407" s="589"/>
      <c r="F1407" s="590"/>
      <c r="G1407" s="591"/>
      <c r="H1407" s="592"/>
      <c r="I1407" s="631">
        <v>51.19</v>
      </c>
      <c r="J1407" s="631">
        <f t="shared" si="377"/>
        <v>51.19</v>
      </c>
      <c r="K1407" s="593">
        <f t="shared" si="378"/>
        <v>64.88</v>
      </c>
      <c r="L1407" s="382" t="s">
        <v>21</v>
      </c>
      <c r="M1407" s="30"/>
      <c r="N1407" s="30">
        <v>64.88</v>
      </c>
      <c r="O1407" s="287">
        <f t="shared" si="379"/>
        <v>0</v>
      </c>
      <c r="P1407" s="287">
        <f t="shared" si="380"/>
        <v>0</v>
      </c>
      <c r="Q1407" s="288"/>
      <c r="R1407" s="243"/>
      <c r="S1407" s="378" t="str">
        <f t="shared" si="381"/>
        <v/>
      </c>
      <c r="U1407" s="722"/>
    </row>
    <row r="1408" spans="2:21" ht="25.5" hidden="1" x14ac:dyDescent="0.2">
      <c r="B1408" s="595">
        <v>92009</v>
      </c>
      <c r="C1408" s="596" t="s">
        <v>817</v>
      </c>
      <c r="D1408" s="597" t="s">
        <v>1497</v>
      </c>
      <c r="E1408" s="589"/>
      <c r="F1408" s="590"/>
      <c r="G1408" s="591"/>
      <c r="H1408" s="592"/>
      <c r="I1408" s="631">
        <v>57.05</v>
      </c>
      <c r="J1408" s="631">
        <f t="shared" si="377"/>
        <v>57.05</v>
      </c>
      <c r="K1408" s="593">
        <f t="shared" si="378"/>
        <v>72.31</v>
      </c>
      <c r="L1408" s="382" t="s">
        <v>21</v>
      </c>
      <c r="M1408" s="30"/>
      <c r="N1408" s="30">
        <v>72.31</v>
      </c>
      <c r="O1408" s="287">
        <f t="shared" si="379"/>
        <v>0</v>
      </c>
      <c r="P1408" s="287">
        <f t="shared" si="380"/>
        <v>0</v>
      </c>
      <c r="Q1408" s="288"/>
      <c r="R1408" s="243"/>
      <c r="S1408" s="378" t="str">
        <f t="shared" si="381"/>
        <v/>
      </c>
      <c r="U1408" s="722"/>
    </row>
    <row r="1409" spans="2:21" ht="25.5" hidden="1" x14ac:dyDescent="0.2">
      <c r="B1409" s="595">
        <v>92010</v>
      </c>
      <c r="C1409" s="596" t="s">
        <v>817</v>
      </c>
      <c r="D1409" s="597" t="s">
        <v>1498</v>
      </c>
      <c r="E1409" s="589"/>
      <c r="F1409" s="590"/>
      <c r="G1409" s="591"/>
      <c r="H1409" s="592"/>
      <c r="I1409" s="631">
        <v>72.16</v>
      </c>
      <c r="J1409" s="631">
        <f t="shared" si="377"/>
        <v>72.16</v>
      </c>
      <c r="K1409" s="593">
        <f t="shared" si="378"/>
        <v>91.46</v>
      </c>
      <c r="L1409" s="382" t="s">
        <v>21</v>
      </c>
      <c r="M1409" s="30"/>
      <c r="N1409" s="30">
        <v>91.46</v>
      </c>
      <c r="O1409" s="287">
        <f t="shared" si="379"/>
        <v>0</v>
      </c>
      <c r="P1409" s="287">
        <f t="shared" si="380"/>
        <v>0</v>
      </c>
      <c r="Q1409" s="288"/>
      <c r="R1409" s="243"/>
      <c r="S1409" s="378" t="str">
        <f t="shared" si="381"/>
        <v/>
      </c>
      <c r="U1409" s="722"/>
    </row>
    <row r="1410" spans="2:21" ht="25.5" hidden="1" x14ac:dyDescent="0.2">
      <c r="B1410" s="595">
        <v>92011</v>
      </c>
      <c r="C1410" s="596" t="s">
        <v>817</v>
      </c>
      <c r="D1410" s="597" t="s">
        <v>1499</v>
      </c>
      <c r="E1410" s="589"/>
      <c r="F1410" s="590"/>
      <c r="G1410" s="591"/>
      <c r="H1410" s="592"/>
      <c r="I1410" s="631">
        <v>80.95</v>
      </c>
      <c r="J1410" s="631">
        <f t="shared" si="377"/>
        <v>80.95</v>
      </c>
      <c r="K1410" s="593">
        <f t="shared" si="378"/>
        <v>102.6</v>
      </c>
      <c r="L1410" s="382" t="s">
        <v>21</v>
      </c>
      <c r="M1410" s="30"/>
      <c r="N1410" s="30">
        <v>102.6</v>
      </c>
      <c r="O1410" s="287">
        <f t="shared" si="379"/>
        <v>0</v>
      </c>
      <c r="P1410" s="287">
        <f t="shared" si="380"/>
        <v>0</v>
      </c>
      <c r="Q1410" s="288"/>
      <c r="R1410" s="243"/>
      <c r="S1410" s="378" t="str">
        <f t="shared" si="381"/>
        <v/>
      </c>
      <c r="U1410" s="722"/>
    </row>
    <row r="1411" spans="2:21" ht="25.5" hidden="1" x14ac:dyDescent="0.2">
      <c r="B1411" s="595">
        <v>92012</v>
      </c>
      <c r="C1411" s="596" t="s">
        <v>817</v>
      </c>
      <c r="D1411" s="597" t="s">
        <v>1500</v>
      </c>
      <c r="E1411" s="589"/>
      <c r="F1411" s="590"/>
      <c r="G1411" s="591"/>
      <c r="H1411" s="592"/>
      <c r="I1411" s="631">
        <v>81.63</v>
      </c>
      <c r="J1411" s="631">
        <f t="shared" si="377"/>
        <v>81.63</v>
      </c>
      <c r="K1411" s="593">
        <f t="shared" si="378"/>
        <v>103.47</v>
      </c>
      <c r="L1411" s="382" t="s">
        <v>21</v>
      </c>
      <c r="M1411" s="30"/>
      <c r="N1411" s="30">
        <v>103.47</v>
      </c>
      <c r="O1411" s="287">
        <f t="shared" si="379"/>
        <v>0</v>
      </c>
      <c r="P1411" s="287">
        <f t="shared" si="380"/>
        <v>0</v>
      </c>
      <c r="Q1411" s="288"/>
      <c r="R1411" s="243"/>
      <c r="S1411" s="378" t="str">
        <f t="shared" si="381"/>
        <v/>
      </c>
      <c r="U1411" s="722"/>
    </row>
    <row r="1412" spans="2:21" ht="25.5" hidden="1" x14ac:dyDescent="0.2">
      <c r="B1412" s="595">
        <v>92013</v>
      </c>
      <c r="C1412" s="596" t="s">
        <v>817</v>
      </c>
      <c r="D1412" s="597" t="s">
        <v>1501</v>
      </c>
      <c r="E1412" s="589"/>
      <c r="F1412" s="590"/>
      <c r="G1412" s="591"/>
      <c r="H1412" s="592"/>
      <c r="I1412" s="631">
        <v>90.42</v>
      </c>
      <c r="J1412" s="631">
        <f t="shared" si="377"/>
        <v>90.42</v>
      </c>
      <c r="K1412" s="593">
        <f t="shared" si="378"/>
        <v>114.61</v>
      </c>
      <c r="L1412" s="382" t="s">
        <v>21</v>
      </c>
      <c r="M1412" s="30"/>
      <c r="N1412" s="30">
        <v>114.61</v>
      </c>
      <c r="O1412" s="287">
        <f t="shared" si="379"/>
        <v>0</v>
      </c>
      <c r="P1412" s="287">
        <f t="shared" si="380"/>
        <v>0</v>
      </c>
      <c r="Q1412" s="288"/>
      <c r="R1412" s="243"/>
      <c r="S1412" s="378" t="str">
        <f t="shared" si="381"/>
        <v/>
      </c>
      <c r="U1412" s="722"/>
    </row>
    <row r="1413" spans="2:21" ht="25.5" hidden="1" x14ac:dyDescent="0.2">
      <c r="B1413" s="595">
        <v>92014</v>
      </c>
      <c r="C1413" s="596" t="s">
        <v>817</v>
      </c>
      <c r="D1413" s="597" t="s">
        <v>1502</v>
      </c>
      <c r="E1413" s="589"/>
      <c r="F1413" s="590"/>
      <c r="G1413" s="591"/>
      <c r="H1413" s="592"/>
      <c r="I1413" s="631">
        <v>61.03</v>
      </c>
      <c r="J1413" s="631">
        <f t="shared" si="377"/>
        <v>61.03</v>
      </c>
      <c r="K1413" s="593">
        <f t="shared" si="378"/>
        <v>77.36</v>
      </c>
      <c r="L1413" s="382" t="s">
        <v>21</v>
      </c>
      <c r="M1413" s="30"/>
      <c r="N1413" s="30">
        <v>77.36</v>
      </c>
      <c r="O1413" s="287">
        <f t="shared" si="379"/>
        <v>0</v>
      </c>
      <c r="P1413" s="287">
        <f t="shared" si="380"/>
        <v>0</v>
      </c>
      <c r="Q1413" s="288"/>
      <c r="R1413" s="243"/>
      <c r="S1413" s="378" t="str">
        <f t="shared" si="381"/>
        <v/>
      </c>
      <c r="U1413" s="722"/>
    </row>
    <row r="1414" spans="2:21" ht="25.5" hidden="1" x14ac:dyDescent="0.2">
      <c r="B1414" s="595">
        <v>92015</v>
      </c>
      <c r="C1414" s="596" t="s">
        <v>817</v>
      </c>
      <c r="D1414" s="597" t="s">
        <v>1503</v>
      </c>
      <c r="E1414" s="589"/>
      <c r="F1414" s="590"/>
      <c r="G1414" s="591"/>
      <c r="H1414" s="592"/>
      <c r="I1414" s="631">
        <v>69.819999999999993</v>
      </c>
      <c r="J1414" s="631">
        <f t="shared" si="377"/>
        <v>69.819999999999993</v>
      </c>
      <c r="K1414" s="593">
        <f t="shared" si="378"/>
        <v>88.5</v>
      </c>
      <c r="L1414" s="382" t="s">
        <v>21</v>
      </c>
      <c r="M1414" s="30"/>
      <c r="N1414" s="30">
        <v>88.5</v>
      </c>
      <c r="O1414" s="287">
        <f t="shared" si="379"/>
        <v>0</v>
      </c>
      <c r="P1414" s="287">
        <f t="shared" si="380"/>
        <v>0</v>
      </c>
      <c r="Q1414" s="288"/>
      <c r="R1414" s="243"/>
      <c r="S1414" s="378" t="str">
        <f t="shared" si="381"/>
        <v/>
      </c>
      <c r="U1414" s="722"/>
    </row>
    <row r="1415" spans="2:21" ht="25.5" hidden="1" x14ac:dyDescent="0.2">
      <c r="B1415" s="595">
        <v>92016</v>
      </c>
      <c r="C1415" s="596" t="s">
        <v>817</v>
      </c>
      <c r="D1415" s="597" t="s">
        <v>1504</v>
      </c>
      <c r="E1415" s="589"/>
      <c r="F1415" s="590"/>
      <c r="G1415" s="591"/>
      <c r="H1415" s="592"/>
      <c r="I1415" s="631">
        <v>70.5</v>
      </c>
      <c r="J1415" s="631">
        <f t="shared" si="377"/>
        <v>70.5</v>
      </c>
      <c r="K1415" s="593">
        <f t="shared" si="378"/>
        <v>89.36</v>
      </c>
      <c r="L1415" s="382" t="s">
        <v>21</v>
      </c>
      <c r="M1415" s="30"/>
      <c r="N1415" s="30">
        <v>89.36</v>
      </c>
      <c r="O1415" s="287">
        <f t="shared" si="379"/>
        <v>0</v>
      </c>
      <c r="P1415" s="287">
        <f t="shared" si="380"/>
        <v>0</v>
      </c>
      <c r="Q1415" s="288"/>
      <c r="R1415" s="243"/>
      <c r="S1415" s="378" t="str">
        <f t="shared" si="381"/>
        <v/>
      </c>
      <c r="U1415" s="722"/>
    </row>
    <row r="1416" spans="2:21" ht="25.5" hidden="1" x14ac:dyDescent="0.2">
      <c r="B1416" s="595">
        <v>92017</v>
      </c>
      <c r="C1416" s="596" t="s">
        <v>817</v>
      </c>
      <c r="D1416" s="597" t="s">
        <v>1505</v>
      </c>
      <c r="E1416" s="589"/>
      <c r="F1416" s="590"/>
      <c r="G1416" s="591"/>
      <c r="H1416" s="592"/>
      <c r="I1416" s="631">
        <v>79.290000000000006</v>
      </c>
      <c r="J1416" s="631">
        <f t="shared" si="377"/>
        <v>79.290000000000006</v>
      </c>
      <c r="K1416" s="593">
        <f t="shared" si="378"/>
        <v>100.5</v>
      </c>
      <c r="L1416" s="382" t="s">
        <v>21</v>
      </c>
      <c r="M1416" s="30"/>
      <c r="N1416" s="30">
        <v>100.5</v>
      </c>
      <c r="O1416" s="287">
        <f t="shared" si="379"/>
        <v>0</v>
      </c>
      <c r="P1416" s="287">
        <f t="shared" si="380"/>
        <v>0</v>
      </c>
      <c r="Q1416" s="288"/>
      <c r="R1416" s="243"/>
      <c r="S1416" s="378" t="str">
        <f t="shared" si="381"/>
        <v/>
      </c>
      <c r="U1416" s="722"/>
    </row>
    <row r="1417" spans="2:21" ht="25.5" hidden="1" x14ac:dyDescent="0.2">
      <c r="B1417" s="595">
        <v>92018</v>
      </c>
      <c r="C1417" s="596" t="s">
        <v>817</v>
      </c>
      <c r="D1417" s="597" t="s">
        <v>1506</v>
      </c>
      <c r="E1417" s="589"/>
      <c r="F1417" s="590"/>
      <c r="G1417" s="591"/>
      <c r="H1417" s="592"/>
      <c r="I1417" s="631">
        <v>80.849999999999994</v>
      </c>
      <c r="J1417" s="631">
        <f t="shared" si="377"/>
        <v>80.849999999999994</v>
      </c>
      <c r="K1417" s="593">
        <f t="shared" si="378"/>
        <v>102.48</v>
      </c>
      <c r="L1417" s="382" t="s">
        <v>21</v>
      </c>
      <c r="M1417" s="30"/>
      <c r="N1417" s="30">
        <v>102.48</v>
      </c>
      <c r="O1417" s="287">
        <f t="shared" si="379"/>
        <v>0</v>
      </c>
      <c r="P1417" s="287">
        <f t="shared" si="380"/>
        <v>0</v>
      </c>
      <c r="Q1417" s="288"/>
      <c r="R1417" s="243"/>
      <c r="S1417" s="378" t="str">
        <f t="shared" si="381"/>
        <v/>
      </c>
      <c r="U1417" s="722"/>
    </row>
    <row r="1418" spans="2:21" ht="25.5" hidden="1" x14ac:dyDescent="0.2">
      <c r="B1418" s="595">
        <v>92019</v>
      </c>
      <c r="C1418" s="596" t="s">
        <v>817</v>
      </c>
      <c r="D1418" s="597" t="s">
        <v>1507</v>
      </c>
      <c r="E1418" s="589"/>
      <c r="F1418" s="590"/>
      <c r="G1418" s="591"/>
      <c r="H1418" s="592"/>
      <c r="I1418" s="631">
        <v>96.26</v>
      </c>
      <c r="J1418" s="631">
        <f t="shared" si="377"/>
        <v>96.26</v>
      </c>
      <c r="K1418" s="593">
        <f t="shared" si="378"/>
        <v>122.01</v>
      </c>
      <c r="L1418" s="382" t="s">
        <v>21</v>
      </c>
      <c r="M1418" s="30"/>
      <c r="N1418" s="30">
        <v>122.01</v>
      </c>
      <c r="O1418" s="287">
        <f t="shared" si="379"/>
        <v>0</v>
      </c>
      <c r="P1418" s="287">
        <f t="shared" si="380"/>
        <v>0</v>
      </c>
      <c r="Q1418" s="288"/>
      <c r="R1418" s="243"/>
      <c r="S1418" s="378" t="str">
        <f t="shared" si="381"/>
        <v/>
      </c>
      <c r="U1418" s="722"/>
    </row>
    <row r="1419" spans="2:21" ht="25.5" hidden="1" x14ac:dyDescent="0.2">
      <c r="B1419" s="595">
        <v>92020</v>
      </c>
      <c r="C1419" s="596" t="s">
        <v>817</v>
      </c>
      <c r="D1419" s="597" t="s">
        <v>1508</v>
      </c>
      <c r="E1419" s="589"/>
      <c r="F1419" s="590"/>
      <c r="G1419" s="591"/>
      <c r="H1419" s="592"/>
      <c r="I1419" s="631">
        <v>119.73</v>
      </c>
      <c r="J1419" s="631">
        <f t="shared" si="377"/>
        <v>119.73</v>
      </c>
      <c r="K1419" s="593">
        <f t="shared" si="378"/>
        <v>151.76</v>
      </c>
      <c r="L1419" s="382" t="s">
        <v>21</v>
      </c>
      <c r="M1419" s="30"/>
      <c r="N1419" s="30">
        <v>151.76</v>
      </c>
      <c r="O1419" s="287">
        <f t="shared" si="379"/>
        <v>0</v>
      </c>
      <c r="P1419" s="287">
        <f t="shared" si="380"/>
        <v>0</v>
      </c>
      <c r="Q1419" s="288"/>
      <c r="R1419" s="243"/>
      <c r="S1419" s="378" t="str">
        <f t="shared" si="381"/>
        <v/>
      </c>
      <c r="U1419" s="722"/>
    </row>
    <row r="1420" spans="2:21" ht="25.5" hidden="1" x14ac:dyDescent="0.2">
      <c r="B1420" s="595">
        <v>92021</v>
      </c>
      <c r="C1420" s="596" t="s">
        <v>817</v>
      </c>
      <c r="D1420" s="597" t="s">
        <v>1509</v>
      </c>
      <c r="E1420" s="589"/>
      <c r="F1420" s="590"/>
      <c r="G1420" s="591"/>
      <c r="H1420" s="592"/>
      <c r="I1420" s="631">
        <v>135.13999999999999</v>
      </c>
      <c r="J1420" s="631">
        <f t="shared" si="377"/>
        <v>135.13999999999999</v>
      </c>
      <c r="K1420" s="593">
        <f t="shared" si="378"/>
        <v>171.29</v>
      </c>
      <c r="L1420" s="382" t="s">
        <v>21</v>
      </c>
      <c r="M1420" s="30"/>
      <c r="N1420" s="30">
        <v>171.29</v>
      </c>
      <c r="O1420" s="287">
        <f t="shared" si="379"/>
        <v>0</v>
      </c>
      <c r="P1420" s="287">
        <f t="shared" si="380"/>
        <v>0</v>
      </c>
      <c r="Q1420" s="288"/>
      <c r="R1420" s="243"/>
      <c r="S1420" s="378" t="str">
        <f t="shared" si="381"/>
        <v/>
      </c>
      <c r="U1420" s="722"/>
    </row>
    <row r="1421" spans="2:21" ht="25.5" hidden="1" x14ac:dyDescent="0.2">
      <c r="B1421" s="595">
        <v>93141</v>
      </c>
      <c r="C1421" s="596" t="s">
        <v>817</v>
      </c>
      <c r="D1421" s="597" t="s">
        <v>1510</v>
      </c>
      <c r="E1421" s="589"/>
      <c r="F1421" s="590"/>
      <c r="G1421" s="591"/>
      <c r="H1421" s="592"/>
      <c r="I1421" s="631">
        <v>193.63</v>
      </c>
      <c r="J1421" s="631">
        <f t="shared" si="377"/>
        <v>193.63</v>
      </c>
      <c r="K1421" s="593">
        <f t="shared" si="378"/>
        <v>245.43</v>
      </c>
      <c r="L1421" s="382" t="s">
        <v>21</v>
      </c>
      <c r="M1421" s="30"/>
      <c r="N1421" s="30">
        <v>245.43</v>
      </c>
      <c r="O1421" s="287">
        <f t="shared" si="379"/>
        <v>0</v>
      </c>
      <c r="P1421" s="287">
        <f t="shared" si="380"/>
        <v>0</v>
      </c>
      <c r="Q1421" s="288"/>
      <c r="R1421" s="243"/>
      <c r="S1421" s="378" t="str">
        <f t="shared" si="381"/>
        <v/>
      </c>
      <c r="U1421" s="722"/>
    </row>
    <row r="1422" spans="2:21" ht="25.5" hidden="1" x14ac:dyDescent="0.2">
      <c r="B1422" s="595">
        <v>93142</v>
      </c>
      <c r="C1422" s="596" t="s">
        <v>817</v>
      </c>
      <c r="D1422" s="597" t="s">
        <v>1511</v>
      </c>
      <c r="E1422" s="589"/>
      <c r="F1422" s="590"/>
      <c r="G1422" s="591"/>
      <c r="H1422" s="592"/>
      <c r="I1422" s="631">
        <v>216.65</v>
      </c>
      <c r="J1422" s="631">
        <f t="shared" si="377"/>
        <v>216.65</v>
      </c>
      <c r="K1422" s="593">
        <f t="shared" si="378"/>
        <v>274.60000000000002</v>
      </c>
      <c r="L1422" s="382" t="s">
        <v>21</v>
      </c>
      <c r="M1422" s="30"/>
      <c r="N1422" s="30">
        <v>274.60000000000002</v>
      </c>
      <c r="O1422" s="287">
        <f t="shared" si="379"/>
        <v>0</v>
      </c>
      <c r="P1422" s="287">
        <f t="shared" si="380"/>
        <v>0</v>
      </c>
      <c r="Q1422" s="288"/>
      <c r="R1422" s="243"/>
      <c r="S1422" s="378" t="str">
        <f t="shared" si="381"/>
        <v/>
      </c>
      <c r="U1422" s="722"/>
    </row>
    <row r="1423" spans="2:21" ht="25.5" hidden="1" x14ac:dyDescent="0.2">
      <c r="B1423" s="595">
        <v>93143</v>
      </c>
      <c r="C1423" s="596" t="s">
        <v>817</v>
      </c>
      <c r="D1423" s="597" t="s">
        <v>1512</v>
      </c>
      <c r="E1423" s="589"/>
      <c r="F1423" s="590"/>
      <c r="G1423" s="591"/>
      <c r="H1423" s="592"/>
      <c r="I1423" s="631">
        <v>196.56</v>
      </c>
      <c r="J1423" s="631">
        <f t="shared" si="377"/>
        <v>196.56</v>
      </c>
      <c r="K1423" s="593">
        <f t="shared" si="378"/>
        <v>249.14</v>
      </c>
      <c r="L1423" s="382" t="s">
        <v>21</v>
      </c>
      <c r="M1423" s="30"/>
      <c r="N1423" s="30">
        <v>249.14</v>
      </c>
      <c r="O1423" s="287">
        <f t="shared" si="379"/>
        <v>0</v>
      </c>
      <c r="P1423" s="287">
        <f t="shared" si="380"/>
        <v>0</v>
      </c>
      <c r="Q1423" s="288"/>
      <c r="R1423" s="243"/>
      <c r="S1423" s="378" t="str">
        <f t="shared" si="381"/>
        <v/>
      </c>
      <c r="U1423" s="722"/>
    </row>
    <row r="1424" spans="2:21" ht="25.5" hidden="1" x14ac:dyDescent="0.2">
      <c r="B1424" s="595">
        <v>93144</v>
      </c>
      <c r="C1424" s="596" t="s">
        <v>817</v>
      </c>
      <c r="D1424" s="597" t="s">
        <v>1513</v>
      </c>
      <c r="E1424" s="589"/>
      <c r="F1424" s="590"/>
      <c r="G1424" s="591"/>
      <c r="H1424" s="592"/>
      <c r="I1424" s="631">
        <v>250.93</v>
      </c>
      <c r="J1424" s="631">
        <f t="shared" si="377"/>
        <v>250.93</v>
      </c>
      <c r="K1424" s="593">
        <f t="shared" si="378"/>
        <v>318.05</v>
      </c>
      <c r="L1424" s="382" t="s">
        <v>21</v>
      </c>
      <c r="M1424" s="30"/>
      <c r="N1424" s="30">
        <v>318.05</v>
      </c>
      <c r="O1424" s="287">
        <f t="shared" si="379"/>
        <v>0</v>
      </c>
      <c r="P1424" s="287">
        <f t="shared" si="380"/>
        <v>0</v>
      </c>
      <c r="Q1424" s="288"/>
      <c r="R1424" s="243"/>
      <c r="S1424" s="378" t="str">
        <f t="shared" si="381"/>
        <v/>
      </c>
      <c r="U1424" s="722"/>
    </row>
    <row r="1425" spans="2:21" ht="38.25" hidden="1" x14ac:dyDescent="0.2">
      <c r="B1425" s="595">
        <v>93145</v>
      </c>
      <c r="C1425" s="596" t="s">
        <v>817</v>
      </c>
      <c r="D1425" s="597" t="s">
        <v>1514</v>
      </c>
      <c r="E1425" s="589"/>
      <c r="F1425" s="590"/>
      <c r="G1425" s="591"/>
      <c r="H1425" s="592"/>
      <c r="I1425" s="631">
        <v>235.36</v>
      </c>
      <c r="J1425" s="631">
        <f t="shared" si="377"/>
        <v>235.36</v>
      </c>
      <c r="K1425" s="593">
        <f t="shared" si="378"/>
        <v>298.32</v>
      </c>
      <c r="L1425" s="382" t="s">
        <v>21</v>
      </c>
      <c r="M1425" s="30"/>
      <c r="N1425" s="30">
        <v>298.32</v>
      </c>
      <c r="O1425" s="287">
        <f t="shared" si="379"/>
        <v>0</v>
      </c>
      <c r="P1425" s="287">
        <f t="shared" si="380"/>
        <v>0</v>
      </c>
      <c r="Q1425" s="288"/>
      <c r="R1425" s="243"/>
      <c r="S1425" s="378" t="str">
        <f t="shared" si="381"/>
        <v/>
      </c>
      <c r="U1425" s="722"/>
    </row>
    <row r="1426" spans="2:21" ht="38.25" hidden="1" x14ac:dyDescent="0.2">
      <c r="B1426" s="595">
        <v>93146</v>
      </c>
      <c r="C1426" s="596" t="s">
        <v>817</v>
      </c>
      <c r="D1426" s="597" t="s">
        <v>1515</v>
      </c>
      <c r="E1426" s="589"/>
      <c r="F1426" s="590"/>
      <c r="G1426" s="591"/>
      <c r="H1426" s="592"/>
      <c r="I1426" s="631">
        <v>254.45</v>
      </c>
      <c r="J1426" s="631">
        <f t="shared" si="377"/>
        <v>254.45</v>
      </c>
      <c r="K1426" s="593">
        <f t="shared" si="378"/>
        <v>322.52</v>
      </c>
      <c r="L1426" s="382" t="s">
        <v>21</v>
      </c>
      <c r="M1426" s="30"/>
      <c r="N1426" s="30">
        <v>322.52</v>
      </c>
      <c r="O1426" s="287">
        <f t="shared" si="379"/>
        <v>0</v>
      </c>
      <c r="P1426" s="287">
        <f t="shared" si="380"/>
        <v>0</v>
      </c>
      <c r="Q1426" s="288"/>
      <c r="R1426" s="243"/>
      <c r="S1426" s="378" t="str">
        <f t="shared" si="381"/>
        <v/>
      </c>
      <c r="U1426" s="722"/>
    </row>
    <row r="1427" spans="2:21" ht="38.25" hidden="1" x14ac:dyDescent="0.2">
      <c r="B1427" s="595">
        <v>93147</v>
      </c>
      <c r="C1427" s="596" t="s">
        <v>817</v>
      </c>
      <c r="D1427" s="597" t="s">
        <v>1516</v>
      </c>
      <c r="E1427" s="589"/>
      <c r="F1427" s="590"/>
      <c r="G1427" s="591"/>
      <c r="H1427" s="592"/>
      <c r="I1427" s="631">
        <v>290.19</v>
      </c>
      <c r="J1427" s="631">
        <f t="shared" si="377"/>
        <v>290.19</v>
      </c>
      <c r="K1427" s="593">
        <f t="shared" si="378"/>
        <v>367.82</v>
      </c>
      <c r="L1427" s="382" t="s">
        <v>21</v>
      </c>
      <c r="M1427" s="30"/>
      <c r="N1427" s="30">
        <v>367.82</v>
      </c>
      <c r="O1427" s="287">
        <f t="shared" si="379"/>
        <v>0</v>
      </c>
      <c r="P1427" s="287">
        <f t="shared" si="380"/>
        <v>0</v>
      </c>
      <c r="Q1427" s="288"/>
      <c r="R1427" s="243"/>
      <c r="S1427" s="378" t="str">
        <f t="shared" si="381"/>
        <v/>
      </c>
      <c r="U1427" s="722"/>
    </row>
    <row r="1428" spans="2:21" ht="38.25" hidden="1" x14ac:dyDescent="0.2">
      <c r="B1428" s="595">
        <v>93128</v>
      </c>
      <c r="C1428" s="596" t="s">
        <v>817</v>
      </c>
      <c r="D1428" s="597" t="s">
        <v>1517</v>
      </c>
      <c r="E1428" s="589"/>
      <c r="F1428" s="590"/>
      <c r="G1428" s="591"/>
      <c r="H1428" s="592"/>
      <c r="I1428" s="631">
        <v>160.05000000000001</v>
      </c>
      <c r="J1428" s="631">
        <f t="shared" si="377"/>
        <v>160.05000000000001</v>
      </c>
      <c r="K1428" s="593">
        <f t="shared" si="378"/>
        <v>202.86</v>
      </c>
      <c r="L1428" s="382" t="s">
        <v>21</v>
      </c>
      <c r="M1428" s="30"/>
      <c r="N1428" s="30">
        <v>202.86</v>
      </c>
      <c r="O1428" s="287">
        <f t="shared" si="379"/>
        <v>0</v>
      </c>
      <c r="P1428" s="287">
        <f t="shared" si="380"/>
        <v>0</v>
      </c>
      <c r="Q1428" s="288"/>
      <c r="R1428" s="243"/>
      <c r="S1428" s="378" t="str">
        <f t="shared" si="381"/>
        <v/>
      </c>
      <c r="U1428" s="722"/>
    </row>
    <row r="1429" spans="2:21" ht="38.25" hidden="1" x14ac:dyDescent="0.2">
      <c r="B1429" s="595">
        <v>93137</v>
      </c>
      <c r="C1429" s="596" t="s">
        <v>817</v>
      </c>
      <c r="D1429" s="597" t="s">
        <v>1518</v>
      </c>
      <c r="E1429" s="589"/>
      <c r="F1429" s="590"/>
      <c r="G1429" s="591"/>
      <c r="H1429" s="592"/>
      <c r="I1429" s="631">
        <v>189.72</v>
      </c>
      <c r="J1429" s="631">
        <f t="shared" ref="J1429:J1492" si="382">IF(ISBLANK(I1429),"",SUM(H1429:I1429))</f>
        <v>189.72</v>
      </c>
      <c r="K1429" s="593">
        <f t="shared" si="378"/>
        <v>240.47</v>
      </c>
      <c r="L1429" s="382" t="s">
        <v>21</v>
      </c>
      <c r="M1429" s="30"/>
      <c r="N1429" s="30">
        <v>240.47</v>
      </c>
      <c r="O1429" s="287">
        <f t="shared" si="379"/>
        <v>0</v>
      </c>
      <c r="P1429" s="287">
        <f t="shared" si="380"/>
        <v>0</v>
      </c>
      <c r="Q1429" s="288"/>
      <c r="R1429" s="243"/>
      <c r="S1429" s="378" t="str">
        <f t="shared" si="381"/>
        <v/>
      </c>
      <c r="U1429" s="722"/>
    </row>
    <row r="1430" spans="2:21" ht="38.25" hidden="1" x14ac:dyDescent="0.2">
      <c r="B1430" s="595">
        <v>93138</v>
      </c>
      <c r="C1430" s="596" t="s">
        <v>817</v>
      </c>
      <c r="D1430" s="597" t="s">
        <v>1519</v>
      </c>
      <c r="E1430" s="589"/>
      <c r="F1430" s="590"/>
      <c r="G1430" s="591"/>
      <c r="H1430" s="592"/>
      <c r="I1430" s="631">
        <v>179.14</v>
      </c>
      <c r="J1430" s="631">
        <f t="shared" si="382"/>
        <v>179.14</v>
      </c>
      <c r="K1430" s="593">
        <f t="shared" si="378"/>
        <v>227.06</v>
      </c>
      <c r="L1430" s="382" t="s">
        <v>21</v>
      </c>
      <c r="M1430" s="30"/>
      <c r="N1430" s="30">
        <v>227.06</v>
      </c>
      <c r="O1430" s="287">
        <f t="shared" si="379"/>
        <v>0</v>
      </c>
      <c r="P1430" s="287">
        <f t="shared" si="380"/>
        <v>0</v>
      </c>
      <c r="Q1430" s="288"/>
      <c r="R1430" s="243"/>
      <c r="S1430" s="378" t="str">
        <f t="shared" si="381"/>
        <v/>
      </c>
      <c r="U1430" s="722"/>
    </row>
    <row r="1431" spans="2:21" ht="38.25" hidden="1" x14ac:dyDescent="0.2">
      <c r="B1431" s="595">
        <v>93139</v>
      </c>
      <c r="C1431" s="596" t="s">
        <v>817</v>
      </c>
      <c r="D1431" s="597" t="s">
        <v>1520</v>
      </c>
      <c r="E1431" s="589"/>
      <c r="F1431" s="590"/>
      <c r="G1431" s="591"/>
      <c r="H1431" s="592"/>
      <c r="I1431" s="631">
        <v>227.88</v>
      </c>
      <c r="J1431" s="631">
        <f t="shared" si="382"/>
        <v>227.88</v>
      </c>
      <c r="K1431" s="593">
        <f t="shared" si="378"/>
        <v>288.83999999999997</v>
      </c>
      <c r="L1431" s="382" t="s">
        <v>21</v>
      </c>
      <c r="M1431" s="30"/>
      <c r="N1431" s="30">
        <v>288.83999999999997</v>
      </c>
      <c r="O1431" s="287">
        <f t="shared" si="379"/>
        <v>0</v>
      </c>
      <c r="P1431" s="287">
        <f t="shared" si="380"/>
        <v>0</v>
      </c>
      <c r="Q1431" s="288"/>
      <c r="R1431" s="243"/>
      <c r="S1431" s="378" t="str">
        <f t="shared" si="381"/>
        <v/>
      </c>
      <c r="U1431" s="722"/>
    </row>
    <row r="1432" spans="2:21" ht="38.25" hidden="1" x14ac:dyDescent="0.2">
      <c r="B1432" s="595">
        <v>93140</v>
      </c>
      <c r="C1432" s="596" t="s">
        <v>817</v>
      </c>
      <c r="D1432" s="597" t="s">
        <v>1521</v>
      </c>
      <c r="E1432" s="589"/>
      <c r="F1432" s="590"/>
      <c r="G1432" s="591"/>
      <c r="H1432" s="592"/>
      <c r="I1432" s="631">
        <v>214.83</v>
      </c>
      <c r="J1432" s="631">
        <f t="shared" si="382"/>
        <v>214.83</v>
      </c>
      <c r="K1432" s="593">
        <f t="shared" si="378"/>
        <v>272.3</v>
      </c>
      <c r="L1432" s="382" t="s">
        <v>21</v>
      </c>
      <c r="M1432" s="30"/>
      <c r="N1432" s="30">
        <v>272.3</v>
      </c>
      <c r="O1432" s="287">
        <f t="shared" si="379"/>
        <v>0</v>
      </c>
      <c r="P1432" s="287">
        <f t="shared" si="380"/>
        <v>0</v>
      </c>
      <c r="Q1432" s="288"/>
      <c r="R1432" s="243"/>
      <c r="S1432" s="378" t="str">
        <f t="shared" si="381"/>
        <v/>
      </c>
      <c r="U1432" s="722"/>
    </row>
    <row r="1433" spans="2:21" ht="25.5" hidden="1" x14ac:dyDescent="0.2">
      <c r="B1433" s="595">
        <v>97595</v>
      </c>
      <c r="C1433" s="596" t="s">
        <v>817</v>
      </c>
      <c r="D1433" s="597" t="s">
        <v>1522</v>
      </c>
      <c r="E1433" s="589"/>
      <c r="F1433" s="590"/>
      <c r="G1433" s="591"/>
      <c r="H1433" s="592"/>
      <c r="I1433" s="631">
        <v>139.34</v>
      </c>
      <c r="J1433" s="631">
        <f t="shared" si="382"/>
        <v>139.34</v>
      </c>
      <c r="K1433" s="593">
        <f t="shared" si="378"/>
        <v>176.61</v>
      </c>
      <c r="L1433" s="382" t="s">
        <v>21</v>
      </c>
      <c r="M1433" s="30"/>
      <c r="N1433" s="30">
        <v>176.61</v>
      </c>
      <c r="O1433" s="287">
        <f t="shared" si="379"/>
        <v>0</v>
      </c>
      <c r="P1433" s="287">
        <f t="shared" si="380"/>
        <v>0</v>
      </c>
      <c r="Q1433" s="288"/>
      <c r="R1433" s="243"/>
      <c r="S1433" s="378" t="str">
        <f t="shared" si="381"/>
        <v/>
      </c>
      <c r="U1433" s="722"/>
    </row>
    <row r="1434" spans="2:21" ht="25.5" hidden="1" x14ac:dyDescent="0.2">
      <c r="B1434" s="595">
        <v>97596</v>
      </c>
      <c r="C1434" s="596" t="s">
        <v>817</v>
      </c>
      <c r="D1434" s="597" t="s">
        <v>1523</v>
      </c>
      <c r="E1434" s="589"/>
      <c r="F1434" s="590"/>
      <c r="G1434" s="591"/>
      <c r="H1434" s="592"/>
      <c r="I1434" s="631">
        <v>94.33</v>
      </c>
      <c r="J1434" s="631">
        <f t="shared" si="382"/>
        <v>94.33</v>
      </c>
      <c r="K1434" s="593">
        <f t="shared" si="378"/>
        <v>119.56</v>
      </c>
      <c r="L1434" s="382" t="s">
        <v>21</v>
      </c>
      <c r="M1434" s="30"/>
      <c r="N1434" s="30">
        <v>119.56</v>
      </c>
      <c r="O1434" s="287">
        <f t="shared" si="379"/>
        <v>0</v>
      </c>
      <c r="P1434" s="287">
        <f t="shared" si="380"/>
        <v>0</v>
      </c>
      <c r="Q1434" s="288"/>
      <c r="R1434" s="243"/>
      <c r="S1434" s="378" t="str">
        <f t="shared" si="381"/>
        <v/>
      </c>
      <c r="U1434" s="722"/>
    </row>
    <row r="1435" spans="2:21" ht="25.5" hidden="1" x14ac:dyDescent="0.2">
      <c r="B1435" s="595">
        <v>97597</v>
      </c>
      <c r="C1435" s="596" t="s">
        <v>817</v>
      </c>
      <c r="D1435" s="597" t="s">
        <v>1524</v>
      </c>
      <c r="E1435" s="589"/>
      <c r="F1435" s="590"/>
      <c r="G1435" s="591"/>
      <c r="H1435" s="592"/>
      <c r="I1435" s="631">
        <v>96.34</v>
      </c>
      <c r="J1435" s="631">
        <f t="shared" si="382"/>
        <v>96.34</v>
      </c>
      <c r="K1435" s="593">
        <f t="shared" si="378"/>
        <v>122.11</v>
      </c>
      <c r="L1435" s="382" t="s">
        <v>21</v>
      </c>
      <c r="M1435" s="30"/>
      <c r="N1435" s="30">
        <v>122.11</v>
      </c>
      <c r="O1435" s="287">
        <f t="shared" si="379"/>
        <v>0</v>
      </c>
      <c r="P1435" s="287">
        <f t="shared" si="380"/>
        <v>0</v>
      </c>
      <c r="Q1435" s="288"/>
      <c r="R1435" s="243"/>
      <c r="S1435" s="378" t="str">
        <f t="shared" si="381"/>
        <v/>
      </c>
      <c r="U1435" s="722"/>
    </row>
    <row r="1436" spans="2:21" ht="25.5" hidden="1" x14ac:dyDescent="0.2">
      <c r="B1436" s="595">
        <v>97598</v>
      </c>
      <c r="C1436" s="596" t="s">
        <v>817</v>
      </c>
      <c r="D1436" s="597" t="s">
        <v>1525</v>
      </c>
      <c r="E1436" s="589"/>
      <c r="F1436" s="590"/>
      <c r="G1436" s="591"/>
      <c r="H1436" s="592"/>
      <c r="I1436" s="631">
        <v>90.58</v>
      </c>
      <c r="J1436" s="631">
        <f t="shared" si="382"/>
        <v>90.58</v>
      </c>
      <c r="K1436" s="593">
        <f t="shared" si="378"/>
        <v>114.81</v>
      </c>
      <c r="L1436" s="382" t="s">
        <v>21</v>
      </c>
      <c r="M1436" s="30"/>
      <c r="N1436" s="30">
        <v>114.81</v>
      </c>
      <c r="O1436" s="287">
        <f t="shared" si="379"/>
        <v>0</v>
      </c>
      <c r="P1436" s="287">
        <f t="shared" si="380"/>
        <v>0</v>
      </c>
      <c r="Q1436" s="288"/>
      <c r="R1436" s="243"/>
      <c r="S1436" s="378" t="str">
        <f t="shared" si="381"/>
        <v/>
      </c>
      <c r="U1436" s="722"/>
    </row>
    <row r="1437" spans="2:21" ht="25.5" hidden="1" x14ac:dyDescent="0.2">
      <c r="B1437" s="595">
        <v>97599</v>
      </c>
      <c r="C1437" s="596" t="s">
        <v>817</v>
      </c>
      <c r="D1437" s="597" t="s">
        <v>1526</v>
      </c>
      <c r="E1437" s="589"/>
      <c r="F1437" s="590"/>
      <c r="G1437" s="591"/>
      <c r="H1437" s="592"/>
      <c r="I1437" s="631">
        <v>29.15</v>
      </c>
      <c r="J1437" s="631">
        <f t="shared" si="382"/>
        <v>29.15</v>
      </c>
      <c r="K1437" s="593">
        <f t="shared" si="378"/>
        <v>36.950000000000003</v>
      </c>
      <c r="L1437" s="382" t="s">
        <v>21</v>
      </c>
      <c r="M1437" s="30"/>
      <c r="N1437" s="30">
        <v>36.950000000000003</v>
      </c>
      <c r="O1437" s="287">
        <f t="shared" si="379"/>
        <v>0</v>
      </c>
      <c r="P1437" s="287">
        <f t="shared" si="380"/>
        <v>0</v>
      </c>
      <c r="Q1437" s="288"/>
      <c r="R1437" s="243"/>
      <c r="S1437" s="378" t="str">
        <f t="shared" si="381"/>
        <v/>
      </c>
      <c r="U1437" s="722"/>
    </row>
    <row r="1438" spans="2:21" ht="25.5" hidden="1" x14ac:dyDescent="0.2">
      <c r="B1438" s="595">
        <v>97583</v>
      </c>
      <c r="C1438" s="596" t="s">
        <v>817</v>
      </c>
      <c r="D1438" s="597" t="s">
        <v>1527</v>
      </c>
      <c r="E1438" s="589"/>
      <c r="F1438" s="590"/>
      <c r="G1438" s="591"/>
      <c r="H1438" s="592"/>
      <c r="I1438" s="631">
        <v>118.83</v>
      </c>
      <c r="J1438" s="631">
        <f t="shared" si="382"/>
        <v>118.83</v>
      </c>
      <c r="K1438" s="593">
        <f t="shared" si="378"/>
        <v>150.62</v>
      </c>
      <c r="L1438" s="382" t="s">
        <v>21</v>
      </c>
      <c r="M1438" s="30"/>
      <c r="N1438" s="30">
        <v>150.62</v>
      </c>
      <c r="O1438" s="287">
        <f t="shared" si="379"/>
        <v>0</v>
      </c>
      <c r="P1438" s="287">
        <f t="shared" si="380"/>
        <v>0</v>
      </c>
      <c r="Q1438" s="288"/>
      <c r="R1438" s="243"/>
      <c r="S1438" s="378" t="str">
        <f t="shared" si="381"/>
        <v/>
      </c>
      <c r="U1438" s="722"/>
    </row>
    <row r="1439" spans="2:21" ht="25.5" hidden="1" x14ac:dyDescent="0.2">
      <c r="B1439" s="595">
        <v>101662</v>
      </c>
      <c r="C1439" s="596" t="s">
        <v>817</v>
      </c>
      <c r="D1439" s="597" t="s">
        <v>1528</v>
      </c>
      <c r="E1439" s="589"/>
      <c r="F1439" s="590"/>
      <c r="G1439" s="591"/>
      <c r="H1439" s="592"/>
      <c r="I1439" s="631">
        <v>946.99</v>
      </c>
      <c r="J1439" s="631">
        <f t="shared" si="382"/>
        <v>946.99</v>
      </c>
      <c r="K1439" s="593">
        <f t="shared" si="378"/>
        <v>1200.31</v>
      </c>
      <c r="L1439" s="382" t="s">
        <v>21</v>
      </c>
      <c r="M1439" s="30"/>
      <c r="N1439" s="30">
        <v>1200.31</v>
      </c>
      <c r="O1439" s="287">
        <f t="shared" si="379"/>
        <v>0</v>
      </c>
      <c r="P1439" s="287">
        <f t="shared" si="380"/>
        <v>0</v>
      </c>
      <c r="Q1439" s="288"/>
      <c r="R1439" s="243"/>
      <c r="S1439" s="378" t="str">
        <f t="shared" si="381"/>
        <v/>
      </c>
      <c r="U1439" s="722"/>
    </row>
    <row r="1440" spans="2:21" ht="25.5" hidden="1" x14ac:dyDescent="0.2">
      <c r="B1440" s="595">
        <v>101652</v>
      </c>
      <c r="C1440" s="596" t="s">
        <v>817</v>
      </c>
      <c r="D1440" s="597" t="s">
        <v>1529</v>
      </c>
      <c r="E1440" s="589"/>
      <c r="F1440" s="590"/>
      <c r="G1440" s="591"/>
      <c r="H1440" s="592"/>
      <c r="I1440" s="631">
        <v>682.22</v>
      </c>
      <c r="J1440" s="631">
        <f t="shared" si="382"/>
        <v>682.22</v>
      </c>
      <c r="K1440" s="593">
        <f t="shared" si="378"/>
        <v>864.71</v>
      </c>
      <c r="L1440" s="382" t="s">
        <v>21</v>
      </c>
      <c r="M1440" s="30"/>
      <c r="N1440" s="30">
        <v>864.71</v>
      </c>
      <c r="O1440" s="287">
        <f t="shared" si="379"/>
        <v>0</v>
      </c>
      <c r="P1440" s="287">
        <f t="shared" si="380"/>
        <v>0</v>
      </c>
      <c r="Q1440" s="288"/>
      <c r="R1440" s="243"/>
      <c r="S1440" s="378" t="str">
        <f t="shared" si="381"/>
        <v/>
      </c>
      <c r="U1440" s="722"/>
    </row>
    <row r="1441" spans="2:21" ht="38.25" hidden="1" x14ac:dyDescent="0.2">
      <c r="B1441" s="595">
        <v>101653</v>
      </c>
      <c r="C1441" s="596" t="s">
        <v>817</v>
      </c>
      <c r="D1441" s="597" t="s">
        <v>1530</v>
      </c>
      <c r="E1441" s="589"/>
      <c r="F1441" s="590"/>
      <c r="G1441" s="591"/>
      <c r="H1441" s="592"/>
      <c r="I1441" s="631">
        <v>329.93</v>
      </c>
      <c r="J1441" s="631">
        <f t="shared" si="382"/>
        <v>329.93</v>
      </c>
      <c r="K1441" s="593">
        <f t="shared" si="378"/>
        <v>418.19</v>
      </c>
      <c r="L1441" s="382" t="s">
        <v>21</v>
      </c>
      <c r="M1441" s="30"/>
      <c r="N1441" s="30">
        <v>418.19</v>
      </c>
      <c r="O1441" s="287">
        <f t="shared" si="379"/>
        <v>0</v>
      </c>
      <c r="P1441" s="287">
        <f t="shared" si="380"/>
        <v>0</v>
      </c>
      <c r="Q1441" s="288"/>
      <c r="R1441" s="243"/>
      <c r="S1441" s="378" t="str">
        <f t="shared" si="381"/>
        <v/>
      </c>
      <c r="U1441" s="722"/>
    </row>
    <row r="1442" spans="2:21" ht="25.5" hidden="1" x14ac:dyDescent="0.2">
      <c r="B1442" s="595">
        <v>97584</v>
      </c>
      <c r="C1442" s="596" t="s">
        <v>817</v>
      </c>
      <c r="D1442" s="597" t="s">
        <v>1531</v>
      </c>
      <c r="E1442" s="589"/>
      <c r="F1442" s="590"/>
      <c r="G1442" s="591"/>
      <c r="H1442" s="592"/>
      <c r="I1442" s="631">
        <v>168.76</v>
      </c>
      <c r="J1442" s="631">
        <f t="shared" si="382"/>
        <v>168.76</v>
      </c>
      <c r="K1442" s="593">
        <f t="shared" si="378"/>
        <v>213.9</v>
      </c>
      <c r="L1442" s="382" t="s">
        <v>21</v>
      </c>
      <c r="M1442" s="30"/>
      <c r="N1442" s="30">
        <v>213.9</v>
      </c>
      <c r="O1442" s="287">
        <f t="shared" si="379"/>
        <v>0</v>
      </c>
      <c r="P1442" s="287">
        <f t="shared" si="380"/>
        <v>0</v>
      </c>
      <c r="Q1442" s="288"/>
      <c r="R1442" s="243"/>
      <c r="S1442" s="378" t="str">
        <f t="shared" si="381"/>
        <v/>
      </c>
      <c r="U1442" s="722"/>
    </row>
    <row r="1443" spans="2:21" ht="25.5" hidden="1" x14ac:dyDescent="0.2">
      <c r="B1443" s="595">
        <v>97585</v>
      </c>
      <c r="C1443" s="596" t="s">
        <v>817</v>
      </c>
      <c r="D1443" s="597" t="s">
        <v>1532</v>
      </c>
      <c r="E1443" s="589"/>
      <c r="F1443" s="590"/>
      <c r="G1443" s="591"/>
      <c r="H1443" s="592"/>
      <c r="I1443" s="631">
        <v>161.24</v>
      </c>
      <c r="J1443" s="631">
        <f t="shared" si="382"/>
        <v>161.24</v>
      </c>
      <c r="K1443" s="593">
        <f t="shared" si="378"/>
        <v>204.37</v>
      </c>
      <c r="L1443" s="382" t="s">
        <v>21</v>
      </c>
      <c r="M1443" s="30"/>
      <c r="N1443" s="30">
        <v>204.37</v>
      </c>
      <c r="O1443" s="287">
        <f t="shared" si="379"/>
        <v>0</v>
      </c>
      <c r="P1443" s="287">
        <f t="shared" si="380"/>
        <v>0</v>
      </c>
      <c r="Q1443" s="288"/>
      <c r="R1443" s="243"/>
      <c r="S1443" s="378" t="str">
        <f t="shared" si="381"/>
        <v/>
      </c>
      <c r="U1443" s="722"/>
    </row>
    <row r="1444" spans="2:21" ht="25.5" hidden="1" x14ac:dyDescent="0.2">
      <c r="B1444" s="595">
        <v>97586</v>
      </c>
      <c r="C1444" s="596" t="s">
        <v>817</v>
      </c>
      <c r="D1444" s="597" t="s">
        <v>1533</v>
      </c>
      <c r="E1444" s="589"/>
      <c r="F1444" s="590"/>
      <c r="G1444" s="591"/>
      <c r="H1444" s="592"/>
      <c r="I1444" s="631">
        <v>221.54</v>
      </c>
      <c r="J1444" s="631">
        <f t="shared" si="382"/>
        <v>221.54</v>
      </c>
      <c r="K1444" s="593">
        <f t="shared" si="378"/>
        <v>280.8</v>
      </c>
      <c r="L1444" s="382" t="s">
        <v>21</v>
      </c>
      <c r="M1444" s="30"/>
      <c r="N1444" s="30">
        <v>280.8</v>
      </c>
      <c r="O1444" s="287">
        <f t="shared" si="379"/>
        <v>0</v>
      </c>
      <c r="P1444" s="287">
        <f t="shared" si="380"/>
        <v>0</v>
      </c>
      <c r="Q1444" s="288"/>
      <c r="R1444" s="243"/>
      <c r="S1444" s="378" t="str">
        <f t="shared" si="381"/>
        <v/>
      </c>
      <c r="U1444" s="722"/>
    </row>
    <row r="1445" spans="2:21" ht="25.5" hidden="1" x14ac:dyDescent="0.2">
      <c r="B1445" s="595">
        <v>97587</v>
      </c>
      <c r="C1445" s="596" t="s">
        <v>817</v>
      </c>
      <c r="D1445" s="597" t="s">
        <v>1534</v>
      </c>
      <c r="E1445" s="589"/>
      <c r="F1445" s="590"/>
      <c r="G1445" s="591"/>
      <c r="H1445" s="592"/>
      <c r="I1445" s="631">
        <v>411.21</v>
      </c>
      <c r="J1445" s="631">
        <f t="shared" si="382"/>
        <v>411.21</v>
      </c>
      <c r="K1445" s="593">
        <f t="shared" si="378"/>
        <v>521.21</v>
      </c>
      <c r="L1445" s="382" t="s">
        <v>21</v>
      </c>
      <c r="M1445" s="30"/>
      <c r="N1445" s="30">
        <v>521.21</v>
      </c>
      <c r="O1445" s="287">
        <f t="shared" si="379"/>
        <v>0</v>
      </c>
      <c r="P1445" s="287">
        <f t="shared" si="380"/>
        <v>0</v>
      </c>
      <c r="Q1445" s="288"/>
      <c r="R1445" s="243"/>
      <c r="S1445" s="378" t="str">
        <f t="shared" si="381"/>
        <v/>
      </c>
      <c r="U1445" s="722"/>
    </row>
    <row r="1446" spans="2:21" ht="25.5" hidden="1" x14ac:dyDescent="0.2">
      <c r="B1446" s="595">
        <v>97589</v>
      </c>
      <c r="C1446" s="596" t="s">
        <v>817</v>
      </c>
      <c r="D1446" s="597" t="s">
        <v>1535</v>
      </c>
      <c r="E1446" s="589"/>
      <c r="F1446" s="590"/>
      <c r="G1446" s="591"/>
      <c r="H1446" s="592"/>
      <c r="I1446" s="631">
        <v>48.25</v>
      </c>
      <c r="J1446" s="631">
        <f t="shared" si="382"/>
        <v>48.25</v>
      </c>
      <c r="K1446" s="593">
        <f t="shared" si="378"/>
        <v>61.16</v>
      </c>
      <c r="L1446" s="382" t="s">
        <v>21</v>
      </c>
      <c r="M1446" s="30"/>
      <c r="N1446" s="30">
        <v>61.16</v>
      </c>
      <c r="O1446" s="287">
        <f t="shared" si="379"/>
        <v>0</v>
      </c>
      <c r="P1446" s="287">
        <f t="shared" si="380"/>
        <v>0</v>
      </c>
      <c r="Q1446" s="288"/>
      <c r="R1446" s="243"/>
      <c r="S1446" s="378" t="str">
        <f t="shared" si="381"/>
        <v/>
      </c>
      <c r="U1446" s="722"/>
    </row>
    <row r="1447" spans="2:21" ht="25.5" hidden="1" x14ac:dyDescent="0.2">
      <c r="B1447" s="595">
        <v>97590</v>
      </c>
      <c r="C1447" s="596" t="s">
        <v>817</v>
      </c>
      <c r="D1447" s="597" t="s">
        <v>1536</v>
      </c>
      <c r="E1447" s="589"/>
      <c r="F1447" s="590"/>
      <c r="G1447" s="591"/>
      <c r="H1447" s="592"/>
      <c r="I1447" s="631">
        <v>131.56</v>
      </c>
      <c r="J1447" s="631">
        <f t="shared" si="382"/>
        <v>131.56</v>
      </c>
      <c r="K1447" s="593">
        <f t="shared" si="378"/>
        <v>166.75</v>
      </c>
      <c r="L1447" s="382" t="s">
        <v>21</v>
      </c>
      <c r="M1447" s="30"/>
      <c r="N1447" s="30">
        <v>166.75</v>
      </c>
      <c r="O1447" s="287">
        <f t="shared" si="379"/>
        <v>0</v>
      </c>
      <c r="P1447" s="287">
        <f t="shared" si="380"/>
        <v>0</v>
      </c>
      <c r="Q1447" s="288"/>
      <c r="R1447" s="243"/>
      <c r="S1447" s="378" t="str">
        <f t="shared" si="381"/>
        <v/>
      </c>
      <c r="U1447" s="722"/>
    </row>
    <row r="1448" spans="2:21" ht="25.5" hidden="1" x14ac:dyDescent="0.2">
      <c r="B1448" s="595">
        <v>97591</v>
      </c>
      <c r="C1448" s="596" t="s">
        <v>817</v>
      </c>
      <c r="D1448" s="597" t="s">
        <v>1537</v>
      </c>
      <c r="E1448" s="589"/>
      <c r="F1448" s="590"/>
      <c r="G1448" s="591"/>
      <c r="H1448" s="592"/>
      <c r="I1448" s="631">
        <v>170.31</v>
      </c>
      <c r="J1448" s="631">
        <f t="shared" si="382"/>
        <v>170.31</v>
      </c>
      <c r="K1448" s="593">
        <f t="shared" si="378"/>
        <v>215.87</v>
      </c>
      <c r="L1448" s="382" t="s">
        <v>21</v>
      </c>
      <c r="M1448" s="30"/>
      <c r="N1448" s="30">
        <v>215.87</v>
      </c>
      <c r="O1448" s="287">
        <f t="shared" si="379"/>
        <v>0</v>
      </c>
      <c r="P1448" s="287">
        <f t="shared" si="380"/>
        <v>0</v>
      </c>
      <c r="Q1448" s="288"/>
      <c r="R1448" s="243"/>
      <c r="S1448" s="378" t="str">
        <f t="shared" si="381"/>
        <v/>
      </c>
      <c r="U1448" s="722"/>
    </row>
    <row r="1449" spans="2:21" ht="25.5" hidden="1" x14ac:dyDescent="0.2">
      <c r="B1449" s="595">
        <v>97592</v>
      </c>
      <c r="C1449" s="596" t="s">
        <v>817</v>
      </c>
      <c r="D1449" s="597" t="s">
        <v>1538</v>
      </c>
      <c r="E1449" s="589"/>
      <c r="F1449" s="590"/>
      <c r="G1449" s="591"/>
      <c r="H1449" s="592"/>
      <c r="I1449" s="631">
        <v>40.729999999999997</v>
      </c>
      <c r="J1449" s="631">
        <f t="shared" si="382"/>
        <v>40.729999999999997</v>
      </c>
      <c r="K1449" s="593">
        <f t="shared" si="378"/>
        <v>51.63</v>
      </c>
      <c r="L1449" s="382" t="s">
        <v>21</v>
      </c>
      <c r="M1449" s="30"/>
      <c r="N1449" s="30">
        <v>51.63</v>
      </c>
      <c r="O1449" s="287">
        <f t="shared" si="379"/>
        <v>0</v>
      </c>
      <c r="P1449" s="287">
        <f t="shared" si="380"/>
        <v>0</v>
      </c>
      <c r="Q1449" s="288"/>
      <c r="R1449" s="243"/>
      <c r="S1449" s="378" t="str">
        <f t="shared" si="381"/>
        <v/>
      </c>
      <c r="U1449" s="722"/>
    </row>
    <row r="1450" spans="2:21" ht="25.5" hidden="1" x14ac:dyDescent="0.2">
      <c r="B1450" s="595">
        <v>97593</v>
      </c>
      <c r="C1450" s="596" t="s">
        <v>817</v>
      </c>
      <c r="D1450" s="597" t="s">
        <v>1539</v>
      </c>
      <c r="E1450" s="589"/>
      <c r="F1450" s="590"/>
      <c r="G1450" s="591"/>
      <c r="H1450" s="592"/>
      <c r="I1450" s="631">
        <v>196.94</v>
      </c>
      <c r="J1450" s="631">
        <f t="shared" si="382"/>
        <v>196.94</v>
      </c>
      <c r="K1450" s="593">
        <f t="shared" si="378"/>
        <v>249.62</v>
      </c>
      <c r="L1450" s="382" t="s">
        <v>21</v>
      </c>
      <c r="M1450" s="30"/>
      <c r="N1450" s="30">
        <v>249.62</v>
      </c>
      <c r="O1450" s="287">
        <f t="shared" si="379"/>
        <v>0</v>
      </c>
      <c r="P1450" s="287">
        <f t="shared" si="380"/>
        <v>0</v>
      </c>
      <c r="Q1450" s="288"/>
      <c r="R1450" s="243"/>
      <c r="S1450" s="378" t="str">
        <f t="shared" si="381"/>
        <v/>
      </c>
      <c r="U1450" s="722"/>
    </row>
    <row r="1451" spans="2:21" ht="25.5" hidden="1" x14ac:dyDescent="0.2">
      <c r="B1451" s="595">
        <v>97594</v>
      </c>
      <c r="C1451" s="596" t="s">
        <v>817</v>
      </c>
      <c r="D1451" s="597" t="s">
        <v>1540</v>
      </c>
      <c r="E1451" s="589"/>
      <c r="F1451" s="590"/>
      <c r="G1451" s="591"/>
      <c r="H1451" s="592"/>
      <c r="I1451" s="631">
        <v>173.05</v>
      </c>
      <c r="J1451" s="631">
        <f t="shared" si="382"/>
        <v>173.05</v>
      </c>
      <c r="K1451" s="593">
        <f t="shared" si="378"/>
        <v>219.34</v>
      </c>
      <c r="L1451" s="382" t="s">
        <v>21</v>
      </c>
      <c r="M1451" s="30"/>
      <c r="N1451" s="30">
        <v>219.34</v>
      </c>
      <c r="O1451" s="287">
        <f t="shared" si="379"/>
        <v>0</v>
      </c>
      <c r="P1451" s="287">
        <f t="shared" si="380"/>
        <v>0</v>
      </c>
      <c r="Q1451" s="288"/>
      <c r="R1451" s="243"/>
      <c r="S1451" s="378" t="str">
        <f t="shared" si="381"/>
        <v/>
      </c>
      <c r="U1451" s="722"/>
    </row>
    <row r="1452" spans="2:21" ht="25.5" hidden="1" x14ac:dyDescent="0.2">
      <c r="B1452" s="595">
        <v>101666</v>
      </c>
      <c r="C1452" s="596" t="s">
        <v>817</v>
      </c>
      <c r="D1452" s="597" t="s">
        <v>1541</v>
      </c>
      <c r="E1452" s="589"/>
      <c r="F1452" s="590"/>
      <c r="G1452" s="591"/>
      <c r="H1452" s="592"/>
      <c r="I1452" s="631">
        <v>541.66</v>
      </c>
      <c r="J1452" s="631">
        <f t="shared" si="382"/>
        <v>541.66</v>
      </c>
      <c r="K1452" s="593">
        <f t="shared" si="378"/>
        <v>686.55</v>
      </c>
      <c r="L1452" s="382" t="s">
        <v>21</v>
      </c>
      <c r="M1452" s="30"/>
      <c r="N1452" s="30">
        <v>686.55</v>
      </c>
      <c r="O1452" s="287">
        <f t="shared" si="379"/>
        <v>0</v>
      </c>
      <c r="P1452" s="287">
        <f t="shared" si="380"/>
        <v>0</v>
      </c>
      <c r="Q1452" s="288"/>
      <c r="R1452" s="243"/>
      <c r="S1452" s="378" t="str">
        <f t="shared" si="381"/>
        <v/>
      </c>
      <c r="U1452" s="722"/>
    </row>
    <row r="1453" spans="2:21" ht="25.5" hidden="1" x14ac:dyDescent="0.2">
      <c r="B1453" s="595">
        <v>97600</v>
      </c>
      <c r="C1453" s="596" t="s">
        <v>817</v>
      </c>
      <c r="D1453" s="597" t="s">
        <v>1542</v>
      </c>
      <c r="E1453" s="589"/>
      <c r="F1453" s="590"/>
      <c r="G1453" s="591"/>
      <c r="H1453" s="592"/>
      <c r="I1453" s="631">
        <v>367.11</v>
      </c>
      <c r="J1453" s="631">
        <f t="shared" si="382"/>
        <v>367.11</v>
      </c>
      <c r="K1453" s="593">
        <f t="shared" si="378"/>
        <v>465.31</v>
      </c>
      <c r="L1453" s="382" t="s">
        <v>21</v>
      </c>
      <c r="M1453" s="30"/>
      <c r="N1453" s="30">
        <v>465.31</v>
      </c>
      <c r="O1453" s="287">
        <f t="shared" si="379"/>
        <v>0</v>
      </c>
      <c r="P1453" s="287">
        <f t="shared" si="380"/>
        <v>0</v>
      </c>
      <c r="Q1453" s="288"/>
      <c r="R1453" s="243"/>
      <c r="S1453" s="378" t="str">
        <f t="shared" si="381"/>
        <v/>
      </c>
      <c r="U1453" s="722"/>
    </row>
    <row r="1454" spans="2:21" ht="25.5" hidden="1" x14ac:dyDescent="0.2">
      <c r="B1454" s="595">
        <v>97601</v>
      </c>
      <c r="C1454" s="596" t="s">
        <v>817</v>
      </c>
      <c r="D1454" s="597" t="s">
        <v>1543</v>
      </c>
      <c r="E1454" s="589"/>
      <c r="F1454" s="590"/>
      <c r="G1454" s="591"/>
      <c r="H1454" s="592"/>
      <c r="I1454" s="631">
        <v>389.89</v>
      </c>
      <c r="J1454" s="631">
        <f t="shared" si="382"/>
        <v>389.89</v>
      </c>
      <c r="K1454" s="593">
        <f t="shared" si="378"/>
        <v>494.19</v>
      </c>
      <c r="L1454" s="382" t="s">
        <v>21</v>
      </c>
      <c r="M1454" s="30"/>
      <c r="N1454" s="30">
        <v>494.19</v>
      </c>
      <c r="O1454" s="287">
        <f t="shared" si="379"/>
        <v>0</v>
      </c>
      <c r="P1454" s="287">
        <f t="shared" si="380"/>
        <v>0</v>
      </c>
      <c r="Q1454" s="288"/>
      <c r="R1454" s="243"/>
      <c r="S1454" s="378" t="str">
        <f t="shared" si="381"/>
        <v/>
      </c>
      <c r="U1454" s="722"/>
    </row>
    <row r="1455" spans="2:21" hidden="1" x14ac:dyDescent="0.2">
      <c r="B1455" s="595">
        <v>97611</v>
      </c>
      <c r="C1455" s="596" t="s">
        <v>817</v>
      </c>
      <c r="D1455" s="597" t="s">
        <v>1544</v>
      </c>
      <c r="E1455" s="589"/>
      <c r="F1455" s="590"/>
      <c r="G1455" s="591"/>
      <c r="H1455" s="592"/>
      <c r="I1455" s="631">
        <v>27.81</v>
      </c>
      <c r="J1455" s="631">
        <f t="shared" si="382"/>
        <v>27.81</v>
      </c>
      <c r="K1455" s="593">
        <f t="shared" ref="K1455:K1518" si="383">IF(ISBLANK(I1455),0,ROUND(J1455*(1+$F$10)*(1+$F$11*E1455),2))</f>
        <v>35.25</v>
      </c>
      <c r="L1455" s="382" t="s">
        <v>21</v>
      </c>
      <c r="M1455" s="30"/>
      <c r="N1455" s="30">
        <v>35.25</v>
      </c>
      <c r="O1455" s="287">
        <f t="shared" ref="O1455:O1518" si="384">IF(ISBLANK(M1455),0,ROUND(K1455*M1455,2))</f>
        <v>0</v>
      </c>
      <c r="P1455" s="287">
        <f t="shared" ref="P1455:P1518" si="385">IF(ISBLANK(N1455),0,ROUND(M1455*N1455,2))</f>
        <v>0</v>
      </c>
      <c r="Q1455" s="288"/>
      <c r="R1455" s="243"/>
      <c r="S1455" s="378" t="str">
        <f t="shared" si="381"/>
        <v/>
      </c>
      <c r="U1455" s="722"/>
    </row>
    <row r="1456" spans="2:21" hidden="1" x14ac:dyDescent="0.2">
      <c r="B1456" s="595">
        <v>97612</v>
      </c>
      <c r="C1456" s="596" t="s">
        <v>817</v>
      </c>
      <c r="D1456" s="597" t="s">
        <v>1545</v>
      </c>
      <c r="E1456" s="589"/>
      <c r="F1456" s="590"/>
      <c r="G1456" s="591"/>
      <c r="H1456" s="592"/>
      <c r="I1456" s="631">
        <v>30.36</v>
      </c>
      <c r="J1456" s="631">
        <f t="shared" si="382"/>
        <v>30.36</v>
      </c>
      <c r="K1456" s="593">
        <f t="shared" si="383"/>
        <v>38.479999999999997</v>
      </c>
      <c r="L1456" s="382" t="s">
        <v>21</v>
      </c>
      <c r="M1456" s="30"/>
      <c r="N1456" s="30">
        <v>38.479999999999997</v>
      </c>
      <c r="O1456" s="287">
        <f t="shared" si="384"/>
        <v>0</v>
      </c>
      <c r="P1456" s="287">
        <f t="shared" si="385"/>
        <v>0</v>
      </c>
      <c r="Q1456" s="288"/>
      <c r="R1456" s="243"/>
      <c r="S1456" s="378" t="str">
        <f t="shared" si="381"/>
        <v/>
      </c>
      <c r="U1456" s="722"/>
    </row>
    <row r="1457" spans="2:21" ht="25.5" hidden="1" x14ac:dyDescent="0.2">
      <c r="B1457" s="595">
        <v>97615</v>
      </c>
      <c r="C1457" s="596" t="s">
        <v>817</v>
      </c>
      <c r="D1457" s="597" t="s">
        <v>1546</v>
      </c>
      <c r="E1457" s="589"/>
      <c r="F1457" s="590"/>
      <c r="G1457" s="591"/>
      <c r="H1457" s="592"/>
      <c r="I1457" s="631">
        <v>70.3</v>
      </c>
      <c r="J1457" s="631">
        <f t="shared" si="382"/>
        <v>70.3</v>
      </c>
      <c r="K1457" s="593">
        <f t="shared" si="383"/>
        <v>89.11</v>
      </c>
      <c r="L1457" s="382" t="s">
        <v>21</v>
      </c>
      <c r="M1457" s="30"/>
      <c r="N1457" s="30">
        <v>89.11</v>
      </c>
      <c r="O1457" s="287">
        <f t="shared" si="384"/>
        <v>0</v>
      </c>
      <c r="P1457" s="287">
        <f t="shared" si="385"/>
        <v>0</v>
      </c>
      <c r="Q1457" s="288"/>
      <c r="R1457" s="243"/>
      <c r="S1457" s="378" t="str">
        <f t="shared" si="381"/>
        <v/>
      </c>
      <c r="U1457" s="722"/>
    </row>
    <row r="1458" spans="2:21" ht="25.5" hidden="1" x14ac:dyDescent="0.2">
      <c r="B1458" s="595">
        <v>97616</v>
      </c>
      <c r="C1458" s="596" t="s">
        <v>817</v>
      </c>
      <c r="D1458" s="597" t="s">
        <v>1547</v>
      </c>
      <c r="E1458" s="589"/>
      <c r="F1458" s="590"/>
      <c r="G1458" s="591"/>
      <c r="H1458" s="592"/>
      <c r="I1458" s="631">
        <v>81.7</v>
      </c>
      <c r="J1458" s="631">
        <f t="shared" si="382"/>
        <v>81.7</v>
      </c>
      <c r="K1458" s="593">
        <f t="shared" si="383"/>
        <v>103.55</v>
      </c>
      <c r="L1458" s="382" t="s">
        <v>21</v>
      </c>
      <c r="M1458" s="30"/>
      <c r="N1458" s="30">
        <v>103.55</v>
      </c>
      <c r="O1458" s="287">
        <f t="shared" si="384"/>
        <v>0</v>
      </c>
      <c r="P1458" s="287">
        <f t="shared" si="385"/>
        <v>0</v>
      </c>
      <c r="Q1458" s="288"/>
      <c r="R1458" s="243"/>
      <c r="S1458" s="378" t="str">
        <f t="shared" si="381"/>
        <v/>
      </c>
      <c r="U1458" s="722"/>
    </row>
    <row r="1459" spans="2:21" ht="25.5" hidden="1" x14ac:dyDescent="0.2">
      <c r="B1459" s="595">
        <v>97617</v>
      </c>
      <c r="C1459" s="596" t="s">
        <v>817</v>
      </c>
      <c r="D1459" s="597" t="s">
        <v>1548</v>
      </c>
      <c r="E1459" s="589"/>
      <c r="F1459" s="590"/>
      <c r="G1459" s="591"/>
      <c r="H1459" s="592"/>
      <c r="I1459" s="631">
        <v>81.31</v>
      </c>
      <c r="J1459" s="631">
        <f t="shared" si="382"/>
        <v>81.31</v>
      </c>
      <c r="K1459" s="593">
        <f t="shared" si="383"/>
        <v>103.06</v>
      </c>
      <c r="L1459" s="382" t="s">
        <v>21</v>
      </c>
      <c r="M1459" s="30"/>
      <c r="N1459" s="30">
        <v>103.06</v>
      </c>
      <c r="O1459" s="287">
        <f t="shared" si="384"/>
        <v>0</v>
      </c>
      <c r="P1459" s="287">
        <f t="shared" si="385"/>
        <v>0</v>
      </c>
      <c r="Q1459" s="288"/>
      <c r="R1459" s="243"/>
      <c r="S1459" s="378" t="str">
        <f t="shared" si="381"/>
        <v/>
      </c>
      <c r="U1459" s="722"/>
    </row>
    <row r="1460" spans="2:21" ht="25.5" hidden="1" x14ac:dyDescent="0.2">
      <c r="B1460" s="595">
        <v>97618</v>
      </c>
      <c r="C1460" s="596" t="s">
        <v>817</v>
      </c>
      <c r="D1460" s="597" t="s">
        <v>1549</v>
      </c>
      <c r="E1460" s="589"/>
      <c r="F1460" s="590"/>
      <c r="G1460" s="591"/>
      <c r="H1460" s="592"/>
      <c r="I1460" s="631">
        <v>73.88</v>
      </c>
      <c r="J1460" s="631">
        <f t="shared" si="382"/>
        <v>73.88</v>
      </c>
      <c r="K1460" s="593">
        <f t="shared" si="383"/>
        <v>93.64</v>
      </c>
      <c r="L1460" s="382" t="s">
        <v>21</v>
      </c>
      <c r="M1460" s="30"/>
      <c r="N1460" s="30">
        <v>93.64</v>
      </c>
      <c r="O1460" s="287">
        <f t="shared" si="384"/>
        <v>0</v>
      </c>
      <c r="P1460" s="287">
        <f t="shared" si="385"/>
        <v>0</v>
      </c>
      <c r="Q1460" s="288"/>
      <c r="R1460" s="243"/>
      <c r="S1460" s="378" t="str">
        <f t="shared" si="381"/>
        <v/>
      </c>
      <c r="U1460" s="722"/>
    </row>
    <row r="1461" spans="2:21" ht="25.5" hidden="1" x14ac:dyDescent="0.2">
      <c r="B1461" s="595">
        <v>97613</v>
      </c>
      <c r="C1461" s="596" t="s">
        <v>817</v>
      </c>
      <c r="D1461" s="597" t="s">
        <v>1550</v>
      </c>
      <c r="E1461" s="589"/>
      <c r="F1461" s="590"/>
      <c r="G1461" s="591"/>
      <c r="H1461" s="592"/>
      <c r="I1461" s="631">
        <v>38.83</v>
      </c>
      <c r="J1461" s="631">
        <f t="shared" si="382"/>
        <v>38.83</v>
      </c>
      <c r="K1461" s="593">
        <f t="shared" si="383"/>
        <v>49.22</v>
      </c>
      <c r="L1461" s="382" t="s">
        <v>21</v>
      </c>
      <c r="M1461" s="30"/>
      <c r="N1461" s="30">
        <v>49.22</v>
      </c>
      <c r="O1461" s="287">
        <f t="shared" si="384"/>
        <v>0</v>
      </c>
      <c r="P1461" s="287">
        <f t="shared" si="385"/>
        <v>0</v>
      </c>
      <c r="Q1461" s="288"/>
      <c r="R1461" s="243"/>
      <c r="S1461" s="378" t="str">
        <f t="shared" ref="S1461:S1524" si="386">IF(R1461="x","x",IF(R1461="y","x",IF(R1461="xy","x",IF(P1461&gt;0,"x",""))))</f>
        <v/>
      </c>
      <c r="U1461" s="722"/>
    </row>
    <row r="1462" spans="2:21" ht="25.5" hidden="1" x14ac:dyDescent="0.2">
      <c r="B1462" s="595">
        <v>97614</v>
      </c>
      <c r="C1462" s="596" t="s">
        <v>817</v>
      </c>
      <c r="D1462" s="597" t="s">
        <v>1551</v>
      </c>
      <c r="E1462" s="589"/>
      <c r="F1462" s="590"/>
      <c r="G1462" s="591"/>
      <c r="H1462" s="592"/>
      <c r="I1462" s="631">
        <v>69.42</v>
      </c>
      <c r="J1462" s="631">
        <f t="shared" si="382"/>
        <v>69.42</v>
      </c>
      <c r="K1462" s="593">
        <f t="shared" si="383"/>
        <v>87.99</v>
      </c>
      <c r="L1462" s="382" t="s">
        <v>21</v>
      </c>
      <c r="M1462" s="30"/>
      <c r="N1462" s="30">
        <v>87.99</v>
      </c>
      <c r="O1462" s="287">
        <f t="shared" si="384"/>
        <v>0</v>
      </c>
      <c r="P1462" s="287">
        <f t="shared" si="385"/>
        <v>0</v>
      </c>
      <c r="Q1462" s="288"/>
      <c r="R1462" s="243"/>
      <c r="S1462" s="378" t="str">
        <f t="shared" si="386"/>
        <v/>
      </c>
      <c r="U1462" s="722"/>
    </row>
    <row r="1463" spans="2:21" hidden="1" x14ac:dyDescent="0.2">
      <c r="B1463" s="595">
        <v>101648</v>
      </c>
      <c r="C1463" s="596" t="s">
        <v>817</v>
      </c>
      <c r="D1463" s="597" t="s">
        <v>1552</v>
      </c>
      <c r="E1463" s="589"/>
      <c r="F1463" s="590"/>
      <c r="G1463" s="591"/>
      <c r="H1463" s="592"/>
      <c r="I1463" s="631">
        <v>64.44</v>
      </c>
      <c r="J1463" s="631">
        <f t="shared" si="382"/>
        <v>64.44</v>
      </c>
      <c r="K1463" s="593">
        <f t="shared" si="383"/>
        <v>81.680000000000007</v>
      </c>
      <c r="L1463" s="382" t="s">
        <v>21</v>
      </c>
      <c r="M1463" s="30"/>
      <c r="N1463" s="30">
        <v>81.680000000000007</v>
      </c>
      <c r="O1463" s="287">
        <f t="shared" si="384"/>
        <v>0</v>
      </c>
      <c r="P1463" s="287">
        <f t="shared" si="385"/>
        <v>0</v>
      </c>
      <c r="Q1463" s="288"/>
      <c r="R1463" s="243"/>
      <c r="S1463" s="378" t="str">
        <f t="shared" si="386"/>
        <v/>
      </c>
      <c r="U1463" s="722"/>
    </row>
    <row r="1464" spans="2:21" hidden="1" x14ac:dyDescent="0.2">
      <c r="B1464" s="595">
        <v>101649</v>
      </c>
      <c r="C1464" s="596" t="s">
        <v>817</v>
      </c>
      <c r="D1464" s="597" t="s">
        <v>1553</v>
      </c>
      <c r="E1464" s="589"/>
      <c r="F1464" s="590"/>
      <c r="G1464" s="591"/>
      <c r="H1464" s="592"/>
      <c r="I1464" s="631">
        <v>74.3</v>
      </c>
      <c r="J1464" s="631">
        <f t="shared" si="382"/>
        <v>74.3</v>
      </c>
      <c r="K1464" s="593">
        <f t="shared" si="383"/>
        <v>94.18</v>
      </c>
      <c r="L1464" s="382" t="s">
        <v>21</v>
      </c>
      <c r="M1464" s="30"/>
      <c r="N1464" s="30">
        <v>94.18</v>
      </c>
      <c r="O1464" s="287">
        <f t="shared" si="384"/>
        <v>0</v>
      </c>
      <c r="P1464" s="287">
        <f t="shared" si="385"/>
        <v>0</v>
      </c>
      <c r="Q1464" s="288"/>
      <c r="R1464" s="243"/>
      <c r="S1464" s="378" t="str">
        <f t="shared" si="386"/>
        <v/>
      </c>
      <c r="U1464" s="722"/>
    </row>
    <row r="1465" spans="2:21" hidden="1" x14ac:dyDescent="0.2">
      <c r="B1465" s="595">
        <v>101650</v>
      </c>
      <c r="C1465" s="596" t="s">
        <v>817</v>
      </c>
      <c r="D1465" s="597" t="s">
        <v>1554</v>
      </c>
      <c r="E1465" s="589"/>
      <c r="F1465" s="590"/>
      <c r="G1465" s="591"/>
      <c r="H1465" s="592"/>
      <c r="I1465" s="631">
        <v>86.4</v>
      </c>
      <c r="J1465" s="631">
        <f t="shared" si="382"/>
        <v>86.4</v>
      </c>
      <c r="K1465" s="593">
        <f t="shared" si="383"/>
        <v>109.51</v>
      </c>
      <c r="L1465" s="382" t="s">
        <v>21</v>
      </c>
      <c r="M1465" s="30"/>
      <c r="N1465" s="30">
        <v>109.51</v>
      </c>
      <c r="O1465" s="287">
        <f t="shared" si="384"/>
        <v>0</v>
      </c>
      <c r="P1465" s="287">
        <f t="shared" si="385"/>
        <v>0</v>
      </c>
      <c r="Q1465" s="288"/>
      <c r="R1465" s="243"/>
      <c r="S1465" s="378" t="str">
        <f t="shared" si="386"/>
        <v/>
      </c>
      <c r="U1465" s="722"/>
    </row>
    <row r="1466" spans="2:21" hidden="1" x14ac:dyDescent="0.2">
      <c r="B1466" s="595">
        <v>101640</v>
      </c>
      <c r="C1466" s="596" t="s">
        <v>817</v>
      </c>
      <c r="D1466" s="597" t="s">
        <v>1555</v>
      </c>
      <c r="E1466" s="589"/>
      <c r="F1466" s="590"/>
      <c r="G1466" s="591"/>
      <c r="H1466" s="592"/>
      <c r="I1466" s="631">
        <v>118.2</v>
      </c>
      <c r="J1466" s="631">
        <f t="shared" si="382"/>
        <v>118.2</v>
      </c>
      <c r="K1466" s="593">
        <f t="shared" si="383"/>
        <v>149.82</v>
      </c>
      <c r="L1466" s="382" t="s">
        <v>21</v>
      </c>
      <c r="M1466" s="30"/>
      <c r="N1466" s="30">
        <v>149.82</v>
      </c>
      <c r="O1466" s="287">
        <f t="shared" si="384"/>
        <v>0</v>
      </c>
      <c r="P1466" s="287">
        <f t="shared" si="385"/>
        <v>0</v>
      </c>
      <c r="Q1466" s="288"/>
      <c r="R1466" s="243"/>
      <c r="S1466" s="378" t="str">
        <f t="shared" si="386"/>
        <v/>
      </c>
      <c r="U1466" s="722"/>
    </row>
    <row r="1467" spans="2:21" hidden="1" x14ac:dyDescent="0.2">
      <c r="B1467" s="595">
        <v>101641</v>
      </c>
      <c r="C1467" s="596" t="s">
        <v>817</v>
      </c>
      <c r="D1467" s="597" t="s">
        <v>1556</v>
      </c>
      <c r="E1467" s="589"/>
      <c r="F1467" s="590"/>
      <c r="G1467" s="591"/>
      <c r="H1467" s="592"/>
      <c r="I1467" s="631">
        <v>61.08</v>
      </c>
      <c r="J1467" s="631">
        <f t="shared" si="382"/>
        <v>61.08</v>
      </c>
      <c r="K1467" s="593">
        <f t="shared" si="383"/>
        <v>77.42</v>
      </c>
      <c r="L1467" s="382" t="s">
        <v>21</v>
      </c>
      <c r="M1467" s="30"/>
      <c r="N1467" s="30">
        <v>77.42</v>
      </c>
      <c r="O1467" s="287">
        <f t="shared" si="384"/>
        <v>0</v>
      </c>
      <c r="P1467" s="287">
        <f t="shared" si="385"/>
        <v>0</v>
      </c>
      <c r="Q1467" s="288"/>
      <c r="R1467" s="243"/>
      <c r="S1467" s="378" t="str">
        <f t="shared" si="386"/>
        <v/>
      </c>
      <c r="U1467" s="722"/>
    </row>
    <row r="1468" spans="2:21" hidden="1" x14ac:dyDescent="0.2">
      <c r="B1468" s="595">
        <v>101642</v>
      </c>
      <c r="C1468" s="596" t="s">
        <v>817</v>
      </c>
      <c r="D1468" s="597" t="s">
        <v>1557</v>
      </c>
      <c r="E1468" s="589"/>
      <c r="F1468" s="590"/>
      <c r="G1468" s="591"/>
      <c r="H1468" s="592"/>
      <c r="I1468" s="631">
        <v>30.49</v>
      </c>
      <c r="J1468" s="631">
        <f t="shared" si="382"/>
        <v>30.49</v>
      </c>
      <c r="K1468" s="593">
        <f t="shared" si="383"/>
        <v>38.65</v>
      </c>
      <c r="L1468" s="382" t="s">
        <v>21</v>
      </c>
      <c r="M1468" s="30"/>
      <c r="N1468" s="30">
        <v>38.65</v>
      </c>
      <c r="O1468" s="287">
        <f t="shared" si="384"/>
        <v>0</v>
      </c>
      <c r="P1468" s="287">
        <f t="shared" si="385"/>
        <v>0</v>
      </c>
      <c r="Q1468" s="288"/>
      <c r="R1468" s="243"/>
      <c r="S1468" s="378" t="str">
        <f t="shared" si="386"/>
        <v/>
      </c>
      <c r="U1468" s="722"/>
    </row>
    <row r="1469" spans="2:21" hidden="1" x14ac:dyDescent="0.2">
      <c r="B1469" s="595">
        <v>101643</v>
      </c>
      <c r="C1469" s="596" t="s">
        <v>817</v>
      </c>
      <c r="D1469" s="597" t="s">
        <v>1558</v>
      </c>
      <c r="E1469" s="589"/>
      <c r="F1469" s="590"/>
      <c r="G1469" s="591"/>
      <c r="H1469" s="592"/>
      <c r="I1469" s="631">
        <v>53.27</v>
      </c>
      <c r="J1469" s="631">
        <f t="shared" si="382"/>
        <v>53.27</v>
      </c>
      <c r="K1469" s="593">
        <f t="shared" si="383"/>
        <v>67.52</v>
      </c>
      <c r="L1469" s="382" t="s">
        <v>21</v>
      </c>
      <c r="M1469" s="30"/>
      <c r="N1469" s="30">
        <v>67.52</v>
      </c>
      <c r="O1469" s="287">
        <f t="shared" si="384"/>
        <v>0</v>
      </c>
      <c r="P1469" s="287">
        <f t="shared" si="385"/>
        <v>0</v>
      </c>
      <c r="Q1469" s="288"/>
      <c r="R1469" s="243"/>
      <c r="S1469" s="378" t="str">
        <f t="shared" si="386"/>
        <v/>
      </c>
      <c r="U1469" s="722"/>
    </row>
    <row r="1470" spans="2:21" hidden="1" x14ac:dyDescent="0.2">
      <c r="B1470" s="595">
        <v>101644</v>
      </c>
      <c r="C1470" s="596" t="s">
        <v>817</v>
      </c>
      <c r="D1470" s="597" t="s">
        <v>1559</v>
      </c>
      <c r="E1470" s="589"/>
      <c r="F1470" s="590"/>
      <c r="G1470" s="591"/>
      <c r="H1470" s="592"/>
      <c r="I1470" s="631">
        <v>72.19</v>
      </c>
      <c r="J1470" s="631">
        <f t="shared" si="382"/>
        <v>72.19</v>
      </c>
      <c r="K1470" s="593">
        <f t="shared" si="383"/>
        <v>91.5</v>
      </c>
      <c r="L1470" s="382" t="s">
        <v>21</v>
      </c>
      <c r="M1470" s="30"/>
      <c r="N1470" s="30">
        <v>91.5</v>
      </c>
      <c r="O1470" s="287">
        <f t="shared" si="384"/>
        <v>0</v>
      </c>
      <c r="P1470" s="287">
        <f t="shared" si="385"/>
        <v>0</v>
      </c>
      <c r="Q1470" s="288"/>
      <c r="R1470" s="243"/>
      <c r="S1470" s="378" t="str">
        <f t="shared" si="386"/>
        <v/>
      </c>
      <c r="U1470" s="722"/>
    </row>
    <row r="1471" spans="2:21" hidden="1" x14ac:dyDescent="0.2">
      <c r="B1471" s="595">
        <v>101645</v>
      </c>
      <c r="C1471" s="596" t="s">
        <v>817</v>
      </c>
      <c r="D1471" s="597" t="s">
        <v>1560</v>
      </c>
      <c r="E1471" s="589"/>
      <c r="F1471" s="590"/>
      <c r="G1471" s="591"/>
      <c r="H1471" s="592"/>
      <c r="I1471" s="631">
        <v>34.020000000000003</v>
      </c>
      <c r="J1471" s="631">
        <f t="shared" si="382"/>
        <v>34.020000000000003</v>
      </c>
      <c r="K1471" s="593">
        <f t="shared" si="383"/>
        <v>43.12</v>
      </c>
      <c r="L1471" s="382" t="s">
        <v>21</v>
      </c>
      <c r="M1471" s="30"/>
      <c r="N1471" s="30">
        <v>43.12</v>
      </c>
      <c r="O1471" s="287">
        <f t="shared" si="384"/>
        <v>0</v>
      </c>
      <c r="P1471" s="287">
        <f t="shared" si="385"/>
        <v>0</v>
      </c>
      <c r="Q1471" s="288"/>
      <c r="R1471" s="243"/>
      <c r="S1471" s="378" t="str">
        <f t="shared" si="386"/>
        <v/>
      </c>
      <c r="U1471" s="722"/>
    </row>
    <row r="1472" spans="2:21" hidden="1" x14ac:dyDescent="0.2">
      <c r="B1472" s="595">
        <v>101646</v>
      </c>
      <c r="C1472" s="596" t="s">
        <v>817</v>
      </c>
      <c r="D1472" s="597" t="s">
        <v>1561</v>
      </c>
      <c r="E1472" s="589"/>
      <c r="F1472" s="590"/>
      <c r="G1472" s="591"/>
      <c r="H1472" s="592"/>
      <c r="I1472" s="631">
        <v>45.27</v>
      </c>
      <c r="J1472" s="631">
        <f t="shared" si="382"/>
        <v>45.27</v>
      </c>
      <c r="K1472" s="593">
        <f t="shared" si="383"/>
        <v>57.38</v>
      </c>
      <c r="L1472" s="382" t="s">
        <v>21</v>
      </c>
      <c r="M1472" s="30"/>
      <c r="N1472" s="30">
        <v>57.38</v>
      </c>
      <c r="O1472" s="287">
        <f t="shared" si="384"/>
        <v>0</v>
      </c>
      <c r="P1472" s="287">
        <f t="shared" si="385"/>
        <v>0</v>
      </c>
      <c r="Q1472" s="288"/>
      <c r="R1472" s="243"/>
      <c r="S1472" s="378" t="str">
        <f t="shared" si="386"/>
        <v/>
      </c>
      <c r="U1472" s="722"/>
    </row>
    <row r="1473" spans="2:21" hidden="1" x14ac:dyDescent="0.2">
      <c r="B1473" s="595">
        <v>101647</v>
      </c>
      <c r="C1473" s="596" t="s">
        <v>817</v>
      </c>
      <c r="D1473" s="597" t="s">
        <v>1562</v>
      </c>
      <c r="E1473" s="589"/>
      <c r="F1473" s="590"/>
      <c r="G1473" s="591"/>
      <c r="H1473" s="592"/>
      <c r="I1473" s="631">
        <v>83.4</v>
      </c>
      <c r="J1473" s="631">
        <f t="shared" si="382"/>
        <v>83.4</v>
      </c>
      <c r="K1473" s="593">
        <f t="shared" si="383"/>
        <v>105.71</v>
      </c>
      <c r="L1473" s="382" t="s">
        <v>21</v>
      </c>
      <c r="M1473" s="30"/>
      <c r="N1473" s="30">
        <v>105.71</v>
      </c>
      <c r="O1473" s="287">
        <f t="shared" si="384"/>
        <v>0</v>
      </c>
      <c r="P1473" s="287">
        <f t="shared" si="385"/>
        <v>0</v>
      </c>
      <c r="Q1473" s="288"/>
      <c r="R1473" s="243"/>
      <c r="S1473" s="378" t="str">
        <f t="shared" si="386"/>
        <v/>
      </c>
      <c r="U1473" s="722"/>
    </row>
    <row r="1474" spans="2:21" ht="25.5" hidden="1" x14ac:dyDescent="0.2">
      <c r="B1474" s="595">
        <v>102085</v>
      </c>
      <c r="C1474" s="596" t="s">
        <v>817</v>
      </c>
      <c r="D1474" s="597" t="s">
        <v>1563</v>
      </c>
      <c r="E1474" s="589"/>
      <c r="F1474" s="590"/>
      <c r="G1474" s="591"/>
      <c r="H1474" s="592"/>
      <c r="I1474" s="631">
        <v>273.12</v>
      </c>
      <c r="J1474" s="631">
        <f t="shared" si="382"/>
        <v>273.12</v>
      </c>
      <c r="K1474" s="593">
        <f t="shared" si="383"/>
        <v>346.18</v>
      </c>
      <c r="L1474" s="382" t="s">
        <v>21</v>
      </c>
      <c r="M1474" s="30"/>
      <c r="N1474" s="30">
        <v>346.18</v>
      </c>
      <c r="O1474" s="287">
        <f t="shared" si="384"/>
        <v>0</v>
      </c>
      <c r="P1474" s="287">
        <f t="shared" si="385"/>
        <v>0</v>
      </c>
      <c r="Q1474" s="288"/>
      <c r="R1474" s="243"/>
      <c r="S1474" s="378" t="str">
        <f t="shared" si="386"/>
        <v/>
      </c>
      <c r="U1474" s="722"/>
    </row>
    <row r="1475" spans="2:21" ht="25.5" hidden="1" x14ac:dyDescent="0.2">
      <c r="B1475" s="595">
        <v>97605</v>
      </c>
      <c r="C1475" s="596" t="s">
        <v>817</v>
      </c>
      <c r="D1475" s="597" t="s">
        <v>1564</v>
      </c>
      <c r="E1475" s="589"/>
      <c r="F1475" s="590"/>
      <c r="G1475" s="591"/>
      <c r="H1475" s="592"/>
      <c r="I1475" s="631">
        <v>123.94</v>
      </c>
      <c r="J1475" s="631">
        <f t="shared" si="382"/>
        <v>123.94</v>
      </c>
      <c r="K1475" s="593">
        <f t="shared" si="383"/>
        <v>157.09</v>
      </c>
      <c r="L1475" s="382" t="s">
        <v>21</v>
      </c>
      <c r="M1475" s="30"/>
      <c r="N1475" s="30">
        <v>157.09</v>
      </c>
      <c r="O1475" s="287">
        <f t="shared" si="384"/>
        <v>0</v>
      </c>
      <c r="P1475" s="287">
        <f t="shared" si="385"/>
        <v>0</v>
      </c>
      <c r="Q1475" s="288"/>
      <c r="R1475" s="243"/>
      <c r="S1475" s="378" t="str">
        <f t="shared" si="386"/>
        <v/>
      </c>
      <c r="U1475" s="722"/>
    </row>
    <row r="1476" spans="2:21" ht="25.5" hidden="1" x14ac:dyDescent="0.2">
      <c r="B1476" s="595">
        <v>101654</v>
      </c>
      <c r="C1476" s="596" t="s">
        <v>817</v>
      </c>
      <c r="D1476" s="597" t="s">
        <v>1565</v>
      </c>
      <c r="E1476" s="589"/>
      <c r="F1476" s="590"/>
      <c r="G1476" s="591"/>
      <c r="H1476" s="592"/>
      <c r="I1476" s="631">
        <v>295.20999999999998</v>
      </c>
      <c r="J1476" s="631">
        <f t="shared" si="382"/>
        <v>295.20999999999998</v>
      </c>
      <c r="K1476" s="593">
        <f t="shared" si="383"/>
        <v>374.18</v>
      </c>
      <c r="L1476" s="382" t="s">
        <v>21</v>
      </c>
      <c r="M1476" s="30"/>
      <c r="N1476" s="30">
        <v>374.18</v>
      </c>
      <c r="O1476" s="287">
        <f t="shared" si="384"/>
        <v>0</v>
      </c>
      <c r="P1476" s="287">
        <f t="shared" si="385"/>
        <v>0</v>
      </c>
      <c r="Q1476" s="288"/>
      <c r="R1476" s="243"/>
      <c r="S1476" s="378" t="str">
        <f t="shared" si="386"/>
        <v/>
      </c>
      <c r="U1476" s="722"/>
    </row>
    <row r="1477" spans="2:21" ht="25.5" hidden="1" x14ac:dyDescent="0.2">
      <c r="B1477" s="595">
        <v>101655</v>
      </c>
      <c r="C1477" s="596" t="s">
        <v>817</v>
      </c>
      <c r="D1477" s="597" t="s">
        <v>1566</v>
      </c>
      <c r="E1477" s="589"/>
      <c r="F1477" s="590"/>
      <c r="G1477" s="591"/>
      <c r="H1477" s="592"/>
      <c r="I1477" s="631">
        <v>489.07</v>
      </c>
      <c r="J1477" s="631">
        <f t="shared" si="382"/>
        <v>489.07</v>
      </c>
      <c r="K1477" s="593">
        <f t="shared" si="383"/>
        <v>619.9</v>
      </c>
      <c r="L1477" s="382" t="s">
        <v>21</v>
      </c>
      <c r="M1477" s="30"/>
      <c r="N1477" s="30">
        <v>619.9</v>
      </c>
      <c r="O1477" s="287">
        <f t="shared" si="384"/>
        <v>0</v>
      </c>
      <c r="P1477" s="287">
        <f t="shared" si="385"/>
        <v>0</v>
      </c>
      <c r="Q1477" s="288"/>
      <c r="R1477" s="243"/>
      <c r="S1477" s="378" t="str">
        <f t="shared" si="386"/>
        <v/>
      </c>
      <c r="U1477" s="722"/>
    </row>
    <row r="1478" spans="2:21" ht="25.5" hidden="1" x14ac:dyDescent="0.2">
      <c r="B1478" s="595">
        <v>101656</v>
      </c>
      <c r="C1478" s="596" t="s">
        <v>817</v>
      </c>
      <c r="D1478" s="597" t="s">
        <v>1567</v>
      </c>
      <c r="E1478" s="589"/>
      <c r="F1478" s="590"/>
      <c r="G1478" s="591"/>
      <c r="H1478" s="592"/>
      <c r="I1478" s="631">
        <v>534.34</v>
      </c>
      <c r="J1478" s="631">
        <f t="shared" si="382"/>
        <v>534.34</v>
      </c>
      <c r="K1478" s="593">
        <f t="shared" si="383"/>
        <v>677.28</v>
      </c>
      <c r="L1478" s="382" t="s">
        <v>21</v>
      </c>
      <c r="M1478" s="30"/>
      <c r="N1478" s="30">
        <v>677.28</v>
      </c>
      <c r="O1478" s="287">
        <f t="shared" si="384"/>
        <v>0</v>
      </c>
      <c r="P1478" s="287">
        <f t="shared" si="385"/>
        <v>0</v>
      </c>
      <c r="Q1478" s="288"/>
      <c r="R1478" s="243"/>
      <c r="S1478" s="378" t="str">
        <f t="shared" si="386"/>
        <v/>
      </c>
      <c r="U1478" s="722"/>
    </row>
    <row r="1479" spans="2:21" ht="25.5" hidden="1" x14ac:dyDescent="0.2">
      <c r="B1479" s="595">
        <v>101657</v>
      </c>
      <c r="C1479" s="596" t="s">
        <v>817</v>
      </c>
      <c r="D1479" s="597" t="s">
        <v>1568</v>
      </c>
      <c r="E1479" s="589"/>
      <c r="F1479" s="590"/>
      <c r="G1479" s="591"/>
      <c r="H1479" s="592"/>
      <c r="I1479" s="631">
        <v>630.76</v>
      </c>
      <c r="J1479" s="631">
        <f t="shared" si="382"/>
        <v>630.76</v>
      </c>
      <c r="K1479" s="593">
        <f t="shared" si="383"/>
        <v>799.49</v>
      </c>
      <c r="L1479" s="382" t="s">
        <v>21</v>
      </c>
      <c r="M1479" s="30"/>
      <c r="N1479" s="30">
        <v>799.49</v>
      </c>
      <c r="O1479" s="287">
        <f t="shared" si="384"/>
        <v>0</v>
      </c>
      <c r="P1479" s="287">
        <f t="shared" si="385"/>
        <v>0</v>
      </c>
      <c r="Q1479" s="288"/>
      <c r="R1479" s="243"/>
      <c r="S1479" s="378" t="str">
        <f t="shared" si="386"/>
        <v/>
      </c>
      <c r="U1479" s="722"/>
    </row>
    <row r="1480" spans="2:21" ht="25.5" hidden="1" x14ac:dyDescent="0.2">
      <c r="B1480" s="595">
        <v>101658</v>
      </c>
      <c r="C1480" s="596" t="s">
        <v>817</v>
      </c>
      <c r="D1480" s="597" t="s">
        <v>1569</v>
      </c>
      <c r="E1480" s="589"/>
      <c r="F1480" s="590"/>
      <c r="G1480" s="591"/>
      <c r="H1480" s="592"/>
      <c r="I1480" s="631">
        <v>829.02</v>
      </c>
      <c r="J1480" s="631">
        <f t="shared" si="382"/>
        <v>829.02</v>
      </c>
      <c r="K1480" s="593">
        <f t="shared" si="383"/>
        <v>1050.78</v>
      </c>
      <c r="L1480" s="382" t="s">
        <v>21</v>
      </c>
      <c r="M1480" s="30"/>
      <c r="N1480" s="30">
        <v>1050.78</v>
      </c>
      <c r="O1480" s="287">
        <f t="shared" si="384"/>
        <v>0</v>
      </c>
      <c r="P1480" s="287">
        <f t="shared" si="385"/>
        <v>0</v>
      </c>
      <c r="Q1480" s="288"/>
      <c r="R1480" s="243"/>
      <c r="S1480" s="378" t="str">
        <f t="shared" si="386"/>
        <v/>
      </c>
      <c r="U1480" s="722"/>
    </row>
    <row r="1481" spans="2:21" ht="25.5" hidden="1" x14ac:dyDescent="0.2">
      <c r="B1481" s="595">
        <v>101659</v>
      </c>
      <c r="C1481" s="596" t="s">
        <v>817</v>
      </c>
      <c r="D1481" s="597" t="s">
        <v>1570</v>
      </c>
      <c r="E1481" s="589"/>
      <c r="F1481" s="590"/>
      <c r="G1481" s="591"/>
      <c r="H1481" s="592"/>
      <c r="I1481" s="631">
        <v>952.33</v>
      </c>
      <c r="J1481" s="631">
        <f t="shared" si="382"/>
        <v>952.33</v>
      </c>
      <c r="K1481" s="593">
        <f t="shared" si="383"/>
        <v>1207.08</v>
      </c>
      <c r="L1481" s="382" t="s">
        <v>21</v>
      </c>
      <c r="M1481" s="30"/>
      <c r="N1481" s="30">
        <v>1207.08</v>
      </c>
      <c r="O1481" s="287">
        <f t="shared" si="384"/>
        <v>0</v>
      </c>
      <c r="P1481" s="287">
        <f t="shared" si="385"/>
        <v>0</v>
      </c>
      <c r="Q1481" s="288"/>
      <c r="R1481" s="243"/>
      <c r="S1481" s="378" t="str">
        <f t="shared" si="386"/>
        <v/>
      </c>
      <c r="U1481" s="722"/>
    </row>
    <row r="1482" spans="2:21" ht="25.5" hidden="1" x14ac:dyDescent="0.2">
      <c r="B1482" s="595">
        <v>101660</v>
      </c>
      <c r="C1482" s="596" t="s">
        <v>817</v>
      </c>
      <c r="D1482" s="597" t="s">
        <v>1571</v>
      </c>
      <c r="E1482" s="589"/>
      <c r="F1482" s="590"/>
      <c r="G1482" s="591"/>
      <c r="H1482" s="592"/>
      <c r="I1482" s="631">
        <v>1534.43</v>
      </c>
      <c r="J1482" s="631">
        <f t="shared" si="382"/>
        <v>1534.43</v>
      </c>
      <c r="K1482" s="593">
        <f t="shared" si="383"/>
        <v>1944.89</v>
      </c>
      <c r="L1482" s="382" t="s">
        <v>21</v>
      </c>
      <c r="M1482" s="30"/>
      <c r="N1482" s="30">
        <v>1944.89</v>
      </c>
      <c r="O1482" s="287">
        <f t="shared" si="384"/>
        <v>0</v>
      </c>
      <c r="P1482" s="287">
        <f t="shared" si="385"/>
        <v>0</v>
      </c>
      <c r="Q1482" s="288"/>
      <c r="R1482" s="243"/>
      <c r="S1482" s="378" t="str">
        <f t="shared" si="386"/>
        <v/>
      </c>
      <c r="U1482" s="722"/>
    </row>
    <row r="1483" spans="2:21" ht="25.5" hidden="1" x14ac:dyDescent="0.2">
      <c r="B1483" s="595">
        <v>97606</v>
      </c>
      <c r="C1483" s="596" t="s">
        <v>817</v>
      </c>
      <c r="D1483" s="597" t="s">
        <v>1572</v>
      </c>
      <c r="E1483" s="589"/>
      <c r="F1483" s="590"/>
      <c r="G1483" s="591"/>
      <c r="H1483" s="592"/>
      <c r="I1483" s="631">
        <v>134.30000000000001</v>
      </c>
      <c r="J1483" s="631">
        <f t="shared" si="382"/>
        <v>134.30000000000001</v>
      </c>
      <c r="K1483" s="593">
        <f t="shared" si="383"/>
        <v>170.23</v>
      </c>
      <c r="L1483" s="382" t="s">
        <v>21</v>
      </c>
      <c r="M1483" s="30"/>
      <c r="N1483" s="30">
        <v>170.23</v>
      </c>
      <c r="O1483" s="287">
        <f t="shared" si="384"/>
        <v>0</v>
      </c>
      <c r="P1483" s="287">
        <f t="shared" si="385"/>
        <v>0</v>
      </c>
      <c r="Q1483" s="288"/>
      <c r="R1483" s="243"/>
      <c r="S1483" s="378" t="str">
        <f t="shared" si="386"/>
        <v/>
      </c>
      <c r="U1483" s="722"/>
    </row>
    <row r="1484" spans="2:21" ht="25.5" hidden="1" x14ac:dyDescent="0.2">
      <c r="B1484" s="595">
        <v>97607</v>
      </c>
      <c r="C1484" s="596" t="s">
        <v>817</v>
      </c>
      <c r="D1484" s="597" t="s">
        <v>1573</v>
      </c>
      <c r="E1484" s="589"/>
      <c r="F1484" s="590"/>
      <c r="G1484" s="591"/>
      <c r="H1484" s="592"/>
      <c r="I1484" s="631">
        <v>150.28</v>
      </c>
      <c r="J1484" s="631">
        <f t="shared" si="382"/>
        <v>150.28</v>
      </c>
      <c r="K1484" s="593">
        <f t="shared" si="383"/>
        <v>190.48</v>
      </c>
      <c r="L1484" s="382" t="s">
        <v>21</v>
      </c>
      <c r="M1484" s="30"/>
      <c r="N1484" s="30">
        <v>190.48</v>
      </c>
      <c r="O1484" s="287">
        <f t="shared" si="384"/>
        <v>0</v>
      </c>
      <c r="P1484" s="287">
        <f t="shared" si="385"/>
        <v>0</v>
      </c>
      <c r="Q1484" s="288"/>
      <c r="R1484" s="243"/>
      <c r="S1484" s="378" t="str">
        <f t="shared" si="386"/>
        <v/>
      </c>
      <c r="U1484" s="722"/>
    </row>
    <row r="1485" spans="2:21" ht="25.5" hidden="1" x14ac:dyDescent="0.2">
      <c r="B1485" s="595">
        <v>97608</v>
      </c>
      <c r="C1485" s="596" t="s">
        <v>817</v>
      </c>
      <c r="D1485" s="597" t="s">
        <v>1574</v>
      </c>
      <c r="E1485" s="589"/>
      <c r="F1485" s="590"/>
      <c r="G1485" s="591"/>
      <c r="H1485" s="592"/>
      <c r="I1485" s="631">
        <v>160.63999999999999</v>
      </c>
      <c r="J1485" s="631">
        <f t="shared" si="382"/>
        <v>160.63999999999999</v>
      </c>
      <c r="K1485" s="593">
        <f t="shared" si="383"/>
        <v>203.61</v>
      </c>
      <c r="L1485" s="382" t="s">
        <v>21</v>
      </c>
      <c r="M1485" s="30"/>
      <c r="N1485" s="30">
        <v>203.61</v>
      </c>
      <c r="O1485" s="287">
        <f t="shared" si="384"/>
        <v>0</v>
      </c>
      <c r="P1485" s="287">
        <f t="shared" si="385"/>
        <v>0</v>
      </c>
      <c r="Q1485" s="288"/>
      <c r="R1485" s="243"/>
      <c r="S1485" s="378" t="str">
        <f t="shared" si="386"/>
        <v/>
      </c>
      <c r="U1485" s="722"/>
    </row>
    <row r="1486" spans="2:21" hidden="1" x14ac:dyDescent="0.2">
      <c r="B1486" s="595">
        <v>100902</v>
      </c>
      <c r="C1486" s="596" t="s">
        <v>817</v>
      </c>
      <c r="D1486" s="597" t="s">
        <v>1575</v>
      </c>
      <c r="E1486" s="589"/>
      <c r="F1486" s="590"/>
      <c r="G1486" s="591"/>
      <c r="H1486" s="592"/>
      <c r="I1486" s="631">
        <v>28.2</v>
      </c>
      <c r="J1486" s="631">
        <f t="shared" si="382"/>
        <v>28.2</v>
      </c>
      <c r="K1486" s="593">
        <f t="shared" si="383"/>
        <v>35.74</v>
      </c>
      <c r="L1486" s="382" t="s">
        <v>21</v>
      </c>
      <c r="M1486" s="30"/>
      <c r="N1486" s="30">
        <v>35.74</v>
      </c>
      <c r="O1486" s="287">
        <f t="shared" si="384"/>
        <v>0</v>
      </c>
      <c r="P1486" s="287">
        <f t="shared" si="385"/>
        <v>0</v>
      </c>
      <c r="Q1486" s="288"/>
      <c r="R1486" s="243"/>
      <c r="S1486" s="378" t="str">
        <f t="shared" si="386"/>
        <v/>
      </c>
      <c r="U1486" s="722"/>
    </row>
    <row r="1487" spans="2:21" hidden="1" x14ac:dyDescent="0.2">
      <c r="B1487" s="595">
        <v>100903</v>
      </c>
      <c r="C1487" s="596" t="s">
        <v>817</v>
      </c>
      <c r="D1487" s="597" t="s">
        <v>1576</v>
      </c>
      <c r="E1487" s="589"/>
      <c r="F1487" s="590"/>
      <c r="G1487" s="591"/>
      <c r="H1487" s="592"/>
      <c r="I1487" s="631">
        <v>33.36</v>
      </c>
      <c r="J1487" s="631">
        <f t="shared" si="382"/>
        <v>33.36</v>
      </c>
      <c r="K1487" s="593">
        <f t="shared" si="383"/>
        <v>42.28</v>
      </c>
      <c r="L1487" s="382" t="s">
        <v>21</v>
      </c>
      <c r="M1487" s="30"/>
      <c r="N1487" s="30">
        <v>42.28</v>
      </c>
      <c r="O1487" s="287">
        <f t="shared" si="384"/>
        <v>0</v>
      </c>
      <c r="P1487" s="287">
        <f t="shared" si="385"/>
        <v>0</v>
      </c>
      <c r="Q1487" s="288"/>
      <c r="R1487" s="243"/>
      <c r="S1487" s="378" t="str">
        <f t="shared" si="386"/>
        <v/>
      </c>
      <c r="U1487" s="722"/>
    </row>
    <row r="1488" spans="2:21" ht="25.5" hidden="1" x14ac:dyDescent="0.2">
      <c r="B1488" s="595">
        <v>100904</v>
      </c>
      <c r="C1488" s="596" t="s">
        <v>817</v>
      </c>
      <c r="D1488" s="597" t="s">
        <v>1577</v>
      </c>
      <c r="E1488" s="589"/>
      <c r="F1488" s="590"/>
      <c r="G1488" s="591"/>
      <c r="H1488" s="592"/>
      <c r="I1488" s="631">
        <v>118.83</v>
      </c>
      <c r="J1488" s="631">
        <f t="shared" si="382"/>
        <v>118.83</v>
      </c>
      <c r="K1488" s="593">
        <f t="shared" si="383"/>
        <v>150.62</v>
      </c>
      <c r="L1488" s="382" t="s">
        <v>21</v>
      </c>
      <c r="M1488" s="30"/>
      <c r="N1488" s="30">
        <v>150.62</v>
      </c>
      <c r="O1488" s="287">
        <f t="shared" si="384"/>
        <v>0</v>
      </c>
      <c r="P1488" s="287">
        <f t="shared" si="385"/>
        <v>0</v>
      </c>
      <c r="Q1488" s="288"/>
      <c r="R1488" s="243"/>
      <c r="S1488" s="378" t="str">
        <f t="shared" si="386"/>
        <v/>
      </c>
      <c r="U1488" s="722"/>
    </row>
    <row r="1489" spans="2:21" ht="25.5" hidden="1" x14ac:dyDescent="0.2">
      <c r="B1489" s="595">
        <v>100905</v>
      </c>
      <c r="C1489" s="596" t="s">
        <v>817</v>
      </c>
      <c r="D1489" s="597" t="s">
        <v>1578</v>
      </c>
      <c r="E1489" s="589"/>
      <c r="F1489" s="590"/>
      <c r="G1489" s="591"/>
      <c r="H1489" s="592"/>
      <c r="I1489" s="631">
        <v>322.48</v>
      </c>
      <c r="J1489" s="631">
        <f t="shared" si="382"/>
        <v>322.48</v>
      </c>
      <c r="K1489" s="593">
        <f t="shared" si="383"/>
        <v>408.74</v>
      </c>
      <c r="L1489" s="382" t="s">
        <v>21</v>
      </c>
      <c r="M1489" s="30"/>
      <c r="N1489" s="30">
        <v>408.74</v>
      </c>
      <c r="O1489" s="287">
        <f t="shared" si="384"/>
        <v>0</v>
      </c>
      <c r="P1489" s="287">
        <f t="shared" si="385"/>
        <v>0</v>
      </c>
      <c r="Q1489" s="288"/>
      <c r="R1489" s="243"/>
      <c r="S1489" s="378" t="str">
        <f t="shared" si="386"/>
        <v/>
      </c>
      <c r="U1489" s="722"/>
    </row>
    <row r="1490" spans="2:21" ht="25.5" hidden="1" x14ac:dyDescent="0.2">
      <c r="B1490" s="595">
        <v>100906</v>
      </c>
      <c r="C1490" s="596" t="s">
        <v>817</v>
      </c>
      <c r="D1490" s="597" t="s">
        <v>1579</v>
      </c>
      <c r="E1490" s="589"/>
      <c r="F1490" s="590"/>
      <c r="G1490" s="591"/>
      <c r="H1490" s="592"/>
      <c r="I1490" s="631">
        <v>443.08</v>
      </c>
      <c r="J1490" s="631">
        <f t="shared" si="382"/>
        <v>443.08</v>
      </c>
      <c r="K1490" s="593">
        <f t="shared" si="383"/>
        <v>561.6</v>
      </c>
      <c r="L1490" s="382" t="s">
        <v>21</v>
      </c>
      <c r="M1490" s="30"/>
      <c r="N1490" s="30">
        <v>561.6</v>
      </c>
      <c r="O1490" s="287">
        <f t="shared" si="384"/>
        <v>0</v>
      </c>
      <c r="P1490" s="287">
        <f t="shared" si="385"/>
        <v>0</v>
      </c>
      <c r="Q1490" s="288"/>
      <c r="R1490" s="243"/>
      <c r="S1490" s="378" t="str">
        <f t="shared" si="386"/>
        <v/>
      </c>
      <c r="U1490" s="722"/>
    </row>
    <row r="1491" spans="2:21" ht="25.5" hidden="1" x14ac:dyDescent="0.2">
      <c r="B1491" s="595">
        <v>100919</v>
      </c>
      <c r="C1491" s="596" t="s">
        <v>817</v>
      </c>
      <c r="D1491" s="597" t="s">
        <v>1580</v>
      </c>
      <c r="E1491" s="589"/>
      <c r="F1491" s="590"/>
      <c r="G1491" s="591"/>
      <c r="H1491" s="592"/>
      <c r="I1491" s="631">
        <v>79.41</v>
      </c>
      <c r="J1491" s="631">
        <f t="shared" si="382"/>
        <v>79.41</v>
      </c>
      <c r="K1491" s="593">
        <f t="shared" si="383"/>
        <v>100.65</v>
      </c>
      <c r="L1491" s="382" t="s">
        <v>21</v>
      </c>
      <c r="M1491" s="30"/>
      <c r="N1491" s="30">
        <v>100.65</v>
      </c>
      <c r="O1491" s="287">
        <f t="shared" si="384"/>
        <v>0</v>
      </c>
      <c r="P1491" s="287">
        <f t="shared" si="385"/>
        <v>0</v>
      </c>
      <c r="Q1491" s="288"/>
      <c r="R1491" s="243"/>
      <c r="S1491" s="378" t="str">
        <f t="shared" si="386"/>
        <v/>
      </c>
      <c r="U1491" s="722"/>
    </row>
    <row r="1492" spans="2:21" ht="25.5" hidden="1" x14ac:dyDescent="0.2">
      <c r="B1492" s="595">
        <v>100920</v>
      </c>
      <c r="C1492" s="596" t="s">
        <v>817</v>
      </c>
      <c r="D1492" s="597" t="s">
        <v>1581</v>
      </c>
      <c r="E1492" s="589"/>
      <c r="F1492" s="590"/>
      <c r="G1492" s="591"/>
      <c r="H1492" s="592"/>
      <c r="I1492" s="631">
        <v>135.82</v>
      </c>
      <c r="J1492" s="631">
        <f t="shared" si="382"/>
        <v>135.82</v>
      </c>
      <c r="K1492" s="593">
        <f t="shared" si="383"/>
        <v>172.15</v>
      </c>
      <c r="L1492" s="382" t="s">
        <v>21</v>
      </c>
      <c r="M1492" s="30"/>
      <c r="N1492" s="30">
        <v>172.15</v>
      </c>
      <c r="O1492" s="287">
        <f t="shared" si="384"/>
        <v>0</v>
      </c>
      <c r="P1492" s="287">
        <f t="shared" si="385"/>
        <v>0</v>
      </c>
      <c r="Q1492" s="288"/>
      <c r="R1492" s="243"/>
      <c r="S1492" s="378" t="str">
        <f t="shared" si="386"/>
        <v/>
      </c>
      <c r="U1492" s="722"/>
    </row>
    <row r="1493" spans="2:21" hidden="1" x14ac:dyDescent="0.2">
      <c r="B1493" s="595">
        <v>97609</v>
      </c>
      <c r="C1493" s="596" t="s">
        <v>817</v>
      </c>
      <c r="D1493" s="597" t="s">
        <v>1582</v>
      </c>
      <c r="E1493" s="589"/>
      <c r="F1493" s="590"/>
      <c r="G1493" s="591"/>
      <c r="H1493" s="592"/>
      <c r="I1493" s="631">
        <v>17.45</v>
      </c>
      <c r="J1493" s="631">
        <f t="shared" ref="J1493:J1556" si="387">IF(ISBLANK(I1493),"",SUM(H1493:I1493))</f>
        <v>17.45</v>
      </c>
      <c r="K1493" s="593">
        <f t="shared" si="383"/>
        <v>22.12</v>
      </c>
      <c r="L1493" s="382" t="s">
        <v>21</v>
      </c>
      <c r="M1493" s="30"/>
      <c r="N1493" s="30">
        <v>22.12</v>
      </c>
      <c r="O1493" s="287">
        <f t="shared" si="384"/>
        <v>0</v>
      </c>
      <c r="P1493" s="287">
        <f t="shared" si="385"/>
        <v>0</v>
      </c>
      <c r="Q1493" s="288"/>
      <c r="R1493" s="243"/>
      <c r="S1493" s="378" t="str">
        <f t="shared" si="386"/>
        <v/>
      </c>
      <c r="U1493" s="722"/>
    </row>
    <row r="1494" spans="2:21" hidden="1" x14ac:dyDescent="0.2">
      <c r="B1494" s="595">
        <v>97610</v>
      </c>
      <c r="C1494" s="596" t="s">
        <v>817</v>
      </c>
      <c r="D1494" s="597" t="s">
        <v>1583</v>
      </c>
      <c r="E1494" s="589"/>
      <c r="F1494" s="590"/>
      <c r="G1494" s="591"/>
      <c r="H1494" s="592"/>
      <c r="I1494" s="631">
        <v>18.62</v>
      </c>
      <c r="J1494" s="631">
        <f t="shared" si="387"/>
        <v>18.62</v>
      </c>
      <c r="K1494" s="593">
        <f t="shared" si="383"/>
        <v>23.6</v>
      </c>
      <c r="L1494" s="382" t="s">
        <v>21</v>
      </c>
      <c r="M1494" s="30"/>
      <c r="N1494" s="30">
        <v>23.6</v>
      </c>
      <c r="O1494" s="287">
        <f t="shared" si="384"/>
        <v>0</v>
      </c>
      <c r="P1494" s="287">
        <f t="shared" si="385"/>
        <v>0</v>
      </c>
      <c r="Q1494" s="288"/>
      <c r="R1494" s="243"/>
      <c r="S1494" s="378" t="str">
        <f t="shared" si="386"/>
        <v/>
      </c>
      <c r="U1494" s="722"/>
    </row>
    <row r="1495" spans="2:21" ht="25.5" hidden="1" x14ac:dyDescent="0.2">
      <c r="B1495" s="595">
        <v>101537</v>
      </c>
      <c r="C1495" s="596" t="s">
        <v>817</v>
      </c>
      <c r="D1495" s="597" t="s">
        <v>1584</v>
      </c>
      <c r="E1495" s="589"/>
      <c r="F1495" s="590"/>
      <c r="G1495" s="591"/>
      <c r="H1495" s="592"/>
      <c r="I1495" s="631">
        <v>139.86000000000001</v>
      </c>
      <c r="J1495" s="631">
        <f t="shared" si="387"/>
        <v>139.86000000000001</v>
      </c>
      <c r="K1495" s="593">
        <f t="shared" si="383"/>
        <v>177.27</v>
      </c>
      <c r="L1495" s="382" t="s">
        <v>21</v>
      </c>
      <c r="M1495" s="30"/>
      <c r="N1495" s="30">
        <v>177.27</v>
      </c>
      <c r="O1495" s="287">
        <f t="shared" si="384"/>
        <v>0</v>
      </c>
      <c r="P1495" s="287">
        <f t="shared" si="385"/>
        <v>0</v>
      </c>
      <c r="Q1495" s="288"/>
      <c r="R1495" s="243"/>
      <c r="S1495" s="378" t="str">
        <f t="shared" si="386"/>
        <v/>
      </c>
      <c r="U1495" s="722"/>
    </row>
    <row r="1496" spans="2:21" hidden="1" x14ac:dyDescent="0.2">
      <c r="B1496" s="595">
        <v>97054</v>
      </c>
      <c r="C1496" s="596" t="s">
        <v>817</v>
      </c>
      <c r="D1496" s="597" t="s">
        <v>1585</v>
      </c>
      <c r="E1496" s="589"/>
      <c r="F1496" s="590"/>
      <c r="G1496" s="591"/>
      <c r="H1496" s="592"/>
      <c r="I1496" s="631">
        <v>28.07</v>
      </c>
      <c r="J1496" s="631">
        <f t="shared" si="387"/>
        <v>28.07</v>
      </c>
      <c r="K1496" s="593">
        <f t="shared" si="383"/>
        <v>35.58</v>
      </c>
      <c r="L1496" s="382" t="s">
        <v>21</v>
      </c>
      <c r="M1496" s="30"/>
      <c r="N1496" s="30">
        <v>35.58</v>
      </c>
      <c r="O1496" s="287">
        <f t="shared" si="384"/>
        <v>0</v>
      </c>
      <c r="P1496" s="287">
        <f t="shared" si="385"/>
        <v>0</v>
      </c>
      <c r="Q1496" s="288"/>
      <c r="R1496" s="243"/>
      <c r="S1496" s="378" t="str">
        <f t="shared" si="386"/>
        <v/>
      </c>
      <c r="U1496" s="722"/>
    </row>
    <row r="1497" spans="2:21" hidden="1" x14ac:dyDescent="0.2">
      <c r="B1497" s="595">
        <v>101538</v>
      </c>
      <c r="C1497" s="596" t="s">
        <v>817</v>
      </c>
      <c r="D1497" s="597" t="s">
        <v>1586</v>
      </c>
      <c r="E1497" s="589"/>
      <c r="F1497" s="590"/>
      <c r="G1497" s="591"/>
      <c r="H1497" s="592"/>
      <c r="I1497" s="631">
        <v>33.22</v>
      </c>
      <c r="J1497" s="631">
        <f t="shared" si="387"/>
        <v>33.22</v>
      </c>
      <c r="K1497" s="593">
        <f t="shared" si="383"/>
        <v>42.11</v>
      </c>
      <c r="L1497" s="382" t="s">
        <v>21</v>
      </c>
      <c r="M1497" s="30"/>
      <c r="N1497" s="30">
        <v>42.11</v>
      </c>
      <c r="O1497" s="287">
        <f t="shared" si="384"/>
        <v>0</v>
      </c>
      <c r="P1497" s="287">
        <f t="shared" si="385"/>
        <v>0</v>
      </c>
      <c r="Q1497" s="288"/>
      <c r="R1497" s="243"/>
      <c r="S1497" s="378" t="str">
        <f t="shared" si="386"/>
        <v/>
      </c>
      <c r="U1497" s="722"/>
    </row>
    <row r="1498" spans="2:21" ht="25.5" hidden="1" x14ac:dyDescent="0.2">
      <c r="B1498" s="595">
        <v>101539</v>
      </c>
      <c r="C1498" s="596" t="s">
        <v>817</v>
      </c>
      <c r="D1498" s="597" t="s">
        <v>1587</v>
      </c>
      <c r="E1498" s="589"/>
      <c r="F1498" s="590"/>
      <c r="G1498" s="591"/>
      <c r="H1498" s="592"/>
      <c r="I1498" s="631">
        <v>56.86</v>
      </c>
      <c r="J1498" s="631">
        <f t="shared" si="387"/>
        <v>56.86</v>
      </c>
      <c r="K1498" s="593">
        <f t="shared" si="383"/>
        <v>72.069999999999993</v>
      </c>
      <c r="L1498" s="382" t="s">
        <v>21</v>
      </c>
      <c r="M1498" s="30"/>
      <c r="N1498" s="30">
        <v>72.069999999999993</v>
      </c>
      <c r="O1498" s="287">
        <f t="shared" si="384"/>
        <v>0</v>
      </c>
      <c r="P1498" s="287">
        <f t="shared" si="385"/>
        <v>0</v>
      </c>
      <c r="Q1498" s="288"/>
      <c r="R1498" s="243"/>
      <c r="S1498" s="378" t="str">
        <f t="shared" si="386"/>
        <v/>
      </c>
      <c r="U1498" s="722"/>
    </row>
    <row r="1499" spans="2:21" ht="25.5" hidden="1" x14ac:dyDescent="0.2">
      <c r="B1499" s="595">
        <v>101540</v>
      </c>
      <c r="C1499" s="596" t="s">
        <v>817</v>
      </c>
      <c r="D1499" s="597" t="s">
        <v>1588</v>
      </c>
      <c r="E1499" s="589"/>
      <c r="F1499" s="590"/>
      <c r="G1499" s="591"/>
      <c r="H1499" s="592"/>
      <c r="I1499" s="631">
        <v>93.84</v>
      </c>
      <c r="J1499" s="631">
        <f t="shared" si="387"/>
        <v>93.84</v>
      </c>
      <c r="K1499" s="593">
        <f t="shared" si="383"/>
        <v>118.94</v>
      </c>
      <c r="L1499" s="382" t="s">
        <v>21</v>
      </c>
      <c r="M1499" s="30"/>
      <c r="N1499" s="30">
        <v>118.94</v>
      </c>
      <c r="O1499" s="287">
        <f t="shared" si="384"/>
        <v>0</v>
      </c>
      <c r="P1499" s="287">
        <f t="shared" si="385"/>
        <v>0</v>
      </c>
      <c r="Q1499" s="288"/>
      <c r="R1499" s="243"/>
      <c r="S1499" s="378" t="str">
        <f t="shared" si="386"/>
        <v/>
      </c>
      <c r="U1499" s="722"/>
    </row>
    <row r="1500" spans="2:21" ht="25.5" hidden="1" x14ac:dyDescent="0.2">
      <c r="B1500" s="595">
        <v>101541</v>
      </c>
      <c r="C1500" s="596" t="s">
        <v>817</v>
      </c>
      <c r="D1500" s="597" t="s">
        <v>1589</v>
      </c>
      <c r="E1500" s="589"/>
      <c r="F1500" s="590"/>
      <c r="G1500" s="591"/>
      <c r="H1500" s="592"/>
      <c r="I1500" s="631">
        <v>122.87</v>
      </c>
      <c r="J1500" s="631">
        <f t="shared" si="387"/>
        <v>122.87</v>
      </c>
      <c r="K1500" s="593">
        <f t="shared" si="383"/>
        <v>155.74</v>
      </c>
      <c r="L1500" s="382" t="s">
        <v>21</v>
      </c>
      <c r="M1500" s="30"/>
      <c r="N1500" s="30">
        <v>155.74</v>
      </c>
      <c r="O1500" s="287">
        <f t="shared" si="384"/>
        <v>0</v>
      </c>
      <c r="P1500" s="287">
        <f t="shared" si="385"/>
        <v>0</v>
      </c>
      <c r="Q1500" s="288"/>
      <c r="R1500" s="243"/>
      <c r="S1500" s="378" t="str">
        <f t="shared" si="386"/>
        <v/>
      </c>
      <c r="U1500" s="722"/>
    </row>
    <row r="1501" spans="2:21" hidden="1" x14ac:dyDescent="0.2">
      <c r="B1501" s="595">
        <v>101542</v>
      </c>
      <c r="C1501" s="596" t="s">
        <v>817</v>
      </c>
      <c r="D1501" s="597" t="s">
        <v>1590</v>
      </c>
      <c r="E1501" s="589"/>
      <c r="F1501" s="590"/>
      <c r="G1501" s="591"/>
      <c r="H1501" s="592"/>
      <c r="I1501" s="631">
        <v>25.68</v>
      </c>
      <c r="J1501" s="631">
        <f t="shared" si="387"/>
        <v>25.68</v>
      </c>
      <c r="K1501" s="593">
        <f t="shared" si="383"/>
        <v>32.549999999999997</v>
      </c>
      <c r="L1501" s="382" t="s">
        <v>21</v>
      </c>
      <c r="M1501" s="30"/>
      <c r="N1501" s="30">
        <v>32.549999999999997</v>
      </c>
      <c r="O1501" s="287">
        <f t="shared" si="384"/>
        <v>0</v>
      </c>
      <c r="P1501" s="287">
        <f t="shared" si="385"/>
        <v>0</v>
      </c>
      <c r="Q1501" s="288"/>
      <c r="R1501" s="243"/>
      <c r="S1501" s="378" t="str">
        <f t="shared" si="386"/>
        <v/>
      </c>
      <c r="U1501" s="722"/>
    </row>
    <row r="1502" spans="2:21" ht="25.5" hidden="1" x14ac:dyDescent="0.2">
      <c r="B1502" s="595">
        <v>101543</v>
      </c>
      <c r="C1502" s="596" t="s">
        <v>817</v>
      </c>
      <c r="D1502" s="597" t="s">
        <v>1591</v>
      </c>
      <c r="E1502" s="589"/>
      <c r="F1502" s="590"/>
      <c r="G1502" s="591"/>
      <c r="H1502" s="592"/>
      <c r="I1502" s="631">
        <v>46.73</v>
      </c>
      <c r="J1502" s="631">
        <f t="shared" si="387"/>
        <v>46.73</v>
      </c>
      <c r="K1502" s="593">
        <f t="shared" si="383"/>
        <v>59.23</v>
      </c>
      <c r="L1502" s="382" t="s">
        <v>21</v>
      </c>
      <c r="M1502" s="30"/>
      <c r="N1502" s="30">
        <v>59.23</v>
      </c>
      <c r="O1502" s="287">
        <f t="shared" si="384"/>
        <v>0</v>
      </c>
      <c r="P1502" s="287">
        <f t="shared" si="385"/>
        <v>0</v>
      </c>
      <c r="Q1502" s="288"/>
      <c r="R1502" s="243"/>
      <c r="S1502" s="378" t="str">
        <f t="shared" si="386"/>
        <v/>
      </c>
      <c r="U1502" s="722"/>
    </row>
    <row r="1503" spans="2:21" ht="25.5" hidden="1" x14ac:dyDescent="0.2">
      <c r="B1503" s="595">
        <v>101544</v>
      </c>
      <c r="C1503" s="596" t="s">
        <v>817</v>
      </c>
      <c r="D1503" s="597" t="s">
        <v>1592</v>
      </c>
      <c r="E1503" s="589"/>
      <c r="F1503" s="590"/>
      <c r="G1503" s="591"/>
      <c r="H1503" s="592"/>
      <c r="I1503" s="631">
        <v>73.8</v>
      </c>
      <c r="J1503" s="631">
        <f t="shared" si="387"/>
        <v>73.8</v>
      </c>
      <c r="K1503" s="593">
        <f t="shared" si="383"/>
        <v>93.54</v>
      </c>
      <c r="L1503" s="382" t="s">
        <v>21</v>
      </c>
      <c r="M1503" s="30"/>
      <c r="N1503" s="30">
        <v>93.54</v>
      </c>
      <c r="O1503" s="287">
        <f t="shared" si="384"/>
        <v>0</v>
      </c>
      <c r="P1503" s="287">
        <f t="shared" si="385"/>
        <v>0</v>
      </c>
      <c r="Q1503" s="288"/>
      <c r="R1503" s="243"/>
      <c r="S1503" s="378" t="str">
        <f t="shared" si="386"/>
        <v/>
      </c>
      <c r="U1503" s="722"/>
    </row>
    <row r="1504" spans="2:21" ht="25.5" hidden="1" x14ac:dyDescent="0.2">
      <c r="B1504" s="595">
        <v>101545</v>
      </c>
      <c r="C1504" s="596" t="s">
        <v>817</v>
      </c>
      <c r="D1504" s="597" t="s">
        <v>1593</v>
      </c>
      <c r="E1504" s="589"/>
      <c r="F1504" s="590"/>
      <c r="G1504" s="591"/>
      <c r="H1504" s="592"/>
      <c r="I1504" s="631">
        <v>105.39</v>
      </c>
      <c r="J1504" s="631">
        <f t="shared" si="387"/>
        <v>105.39</v>
      </c>
      <c r="K1504" s="593">
        <f t="shared" si="383"/>
        <v>133.58000000000001</v>
      </c>
      <c r="L1504" s="382" t="s">
        <v>21</v>
      </c>
      <c r="M1504" s="30"/>
      <c r="N1504" s="30">
        <v>133.58000000000001</v>
      </c>
      <c r="O1504" s="287">
        <f t="shared" si="384"/>
        <v>0</v>
      </c>
      <c r="P1504" s="287">
        <f t="shared" si="385"/>
        <v>0</v>
      </c>
      <c r="Q1504" s="288"/>
      <c r="R1504" s="243"/>
      <c r="S1504" s="378" t="str">
        <f t="shared" si="386"/>
        <v/>
      </c>
      <c r="U1504" s="722"/>
    </row>
    <row r="1505" spans="2:21" hidden="1" x14ac:dyDescent="0.2">
      <c r="B1505" s="595">
        <v>101546</v>
      </c>
      <c r="C1505" s="596" t="s">
        <v>817</v>
      </c>
      <c r="D1505" s="597" t="s">
        <v>1594</v>
      </c>
      <c r="E1505" s="589"/>
      <c r="F1505" s="590"/>
      <c r="G1505" s="591"/>
      <c r="H1505" s="592"/>
      <c r="I1505" s="631">
        <v>30.05</v>
      </c>
      <c r="J1505" s="631">
        <f t="shared" si="387"/>
        <v>30.05</v>
      </c>
      <c r="K1505" s="593">
        <f t="shared" si="383"/>
        <v>38.090000000000003</v>
      </c>
      <c r="L1505" s="382" t="s">
        <v>21</v>
      </c>
      <c r="M1505" s="30"/>
      <c r="N1505" s="30">
        <v>38.090000000000003</v>
      </c>
      <c r="O1505" s="287">
        <f t="shared" si="384"/>
        <v>0</v>
      </c>
      <c r="P1505" s="287">
        <f t="shared" si="385"/>
        <v>0</v>
      </c>
      <c r="Q1505" s="288"/>
      <c r="R1505" s="243"/>
      <c r="S1505" s="378" t="str">
        <f t="shared" si="386"/>
        <v/>
      </c>
      <c r="U1505" s="722"/>
    </row>
    <row r="1506" spans="2:21" hidden="1" x14ac:dyDescent="0.2">
      <c r="B1506" s="595">
        <v>101547</v>
      </c>
      <c r="C1506" s="596" t="s">
        <v>817</v>
      </c>
      <c r="D1506" s="597" t="s">
        <v>1595</v>
      </c>
      <c r="E1506" s="589"/>
      <c r="F1506" s="590"/>
      <c r="G1506" s="591"/>
      <c r="H1506" s="592"/>
      <c r="I1506" s="631">
        <v>93.82</v>
      </c>
      <c r="J1506" s="631">
        <f t="shared" si="387"/>
        <v>93.82</v>
      </c>
      <c r="K1506" s="593">
        <f t="shared" si="383"/>
        <v>118.92</v>
      </c>
      <c r="L1506" s="382" t="s">
        <v>21</v>
      </c>
      <c r="M1506" s="30"/>
      <c r="N1506" s="30">
        <v>118.92</v>
      </c>
      <c r="O1506" s="287">
        <f t="shared" si="384"/>
        <v>0</v>
      </c>
      <c r="P1506" s="287">
        <f t="shared" si="385"/>
        <v>0</v>
      </c>
      <c r="Q1506" s="288"/>
      <c r="R1506" s="243"/>
      <c r="S1506" s="378" t="str">
        <f t="shared" si="386"/>
        <v/>
      </c>
      <c r="U1506" s="722"/>
    </row>
    <row r="1507" spans="2:21" hidden="1" x14ac:dyDescent="0.2">
      <c r="B1507" s="595">
        <v>101548</v>
      </c>
      <c r="C1507" s="596" t="s">
        <v>817</v>
      </c>
      <c r="D1507" s="597" t="s">
        <v>1596</v>
      </c>
      <c r="E1507" s="589"/>
      <c r="F1507" s="590"/>
      <c r="G1507" s="591"/>
      <c r="H1507" s="592"/>
      <c r="I1507" s="631">
        <v>7.56</v>
      </c>
      <c r="J1507" s="631">
        <f t="shared" si="387"/>
        <v>7.56</v>
      </c>
      <c r="K1507" s="593">
        <f t="shared" si="383"/>
        <v>9.58</v>
      </c>
      <c r="L1507" s="382" t="s">
        <v>21</v>
      </c>
      <c r="M1507" s="30"/>
      <c r="N1507" s="30">
        <v>9.58</v>
      </c>
      <c r="O1507" s="287">
        <f t="shared" si="384"/>
        <v>0</v>
      </c>
      <c r="P1507" s="287">
        <f t="shared" si="385"/>
        <v>0</v>
      </c>
      <c r="Q1507" s="288"/>
      <c r="R1507" s="243"/>
      <c r="S1507" s="378" t="str">
        <f t="shared" si="386"/>
        <v/>
      </c>
      <c r="U1507" s="722"/>
    </row>
    <row r="1508" spans="2:21" ht="25.5" hidden="1" x14ac:dyDescent="0.2">
      <c r="B1508" s="595">
        <v>101549</v>
      </c>
      <c r="C1508" s="596" t="s">
        <v>817</v>
      </c>
      <c r="D1508" s="597" t="s">
        <v>1597</v>
      </c>
      <c r="E1508" s="589"/>
      <c r="F1508" s="590"/>
      <c r="G1508" s="591"/>
      <c r="H1508" s="592"/>
      <c r="I1508" s="631">
        <v>19.86</v>
      </c>
      <c r="J1508" s="631">
        <f t="shared" si="387"/>
        <v>19.86</v>
      </c>
      <c r="K1508" s="593">
        <f t="shared" si="383"/>
        <v>25.17</v>
      </c>
      <c r="L1508" s="382" t="s">
        <v>21</v>
      </c>
      <c r="M1508" s="30"/>
      <c r="N1508" s="30">
        <v>25.17</v>
      </c>
      <c r="O1508" s="287">
        <f t="shared" si="384"/>
        <v>0</v>
      </c>
      <c r="P1508" s="287">
        <f t="shared" si="385"/>
        <v>0</v>
      </c>
      <c r="Q1508" s="288"/>
      <c r="R1508" s="243"/>
      <c r="S1508" s="378" t="str">
        <f t="shared" si="386"/>
        <v/>
      </c>
      <c r="U1508" s="722"/>
    </row>
    <row r="1509" spans="2:21" ht="25.5" hidden="1" x14ac:dyDescent="0.2">
      <c r="B1509" s="595">
        <v>101553</v>
      </c>
      <c r="C1509" s="596" t="s">
        <v>817</v>
      </c>
      <c r="D1509" s="597" t="s">
        <v>1598</v>
      </c>
      <c r="E1509" s="589"/>
      <c r="F1509" s="590"/>
      <c r="G1509" s="591"/>
      <c r="H1509" s="592"/>
      <c r="I1509" s="631">
        <v>11.74</v>
      </c>
      <c r="J1509" s="631">
        <f t="shared" si="387"/>
        <v>11.74</v>
      </c>
      <c r="K1509" s="593">
        <f t="shared" si="383"/>
        <v>14.88</v>
      </c>
      <c r="L1509" s="382" t="s">
        <v>21</v>
      </c>
      <c r="M1509" s="30"/>
      <c r="N1509" s="30">
        <v>14.88</v>
      </c>
      <c r="O1509" s="287">
        <f t="shared" si="384"/>
        <v>0</v>
      </c>
      <c r="P1509" s="287">
        <f t="shared" si="385"/>
        <v>0</v>
      </c>
      <c r="Q1509" s="288"/>
      <c r="R1509" s="243"/>
      <c r="S1509" s="378" t="str">
        <f t="shared" si="386"/>
        <v/>
      </c>
      <c r="U1509" s="722"/>
    </row>
    <row r="1510" spans="2:21" ht="25.5" hidden="1" x14ac:dyDescent="0.2">
      <c r="B1510" s="595">
        <v>101554</v>
      </c>
      <c r="C1510" s="596" t="s">
        <v>817</v>
      </c>
      <c r="D1510" s="597" t="s">
        <v>1599</v>
      </c>
      <c r="E1510" s="589"/>
      <c r="F1510" s="590"/>
      <c r="G1510" s="591"/>
      <c r="H1510" s="592"/>
      <c r="I1510" s="631">
        <v>9.02</v>
      </c>
      <c r="J1510" s="631">
        <f t="shared" si="387"/>
        <v>9.02</v>
      </c>
      <c r="K1510" s="593">
        <f t="shared" si="383"/>
        <v>11.43</v>
      </c>
      <c r="L1510" s="382" t="s">
        <v>21</v>
      </c>
      <c r="M1510" s="30"/>
      <c r="N1510" s="30">
        <v>11.43</v>
      </c>
      <c r="O1510" s="287">
        <f t="shared" si="384"/>
        <v>0</v>
      </c>
      <c r="P1510" s="287">
        <f t="shared" si="385"/>
        <v>0</v>
      </c>
      <c r="Q1510" s="288"/>
      <c r="R1510" s="243"/>
      <c r="S1510" s="378" t="str">
        <f t="shared" si="386"/>
        <v/>
      </c>
      <c r="U1510" s="722"/>
    </row>
    <row r="1511" spans="2:21" ht="25.5" hidden="1" x14ac:dyDescent="0.2">
      <c r="B1511" s="595">
        <v>101555</v>
      </c>
      <c r="C1511" s="596" t="s">
        <v>817</v>
      </c>
      <c r="D1511" s="597" t="s">
        <v>1600</v>
      </c>
      <c r="E1511" s="589"/>
      <c r="F1511" s="590"/>
      <c r="G1511" s="591"/>
      <c r="H1511" s="592"/>
      <c r="I1511" s="631">
        <v>6.54</v>
      </c>
      <c r="J1511" s="631">
        <f t="shared" si="387"/>
        <v>6.54</v>
      </c>
      <c r="K1511" s="593">
        <f t="shared" si="383"/>
        <v>8.2899999999999991</v>
      </c>
      <c r="L1511" s="382" t="s">
        <v>21</v>
      </c>
      <c r="M1511" s="30"/>
      <c r="N1511" s="30">
        <v>8.2899999999999991</v>
      </c>
      <c r="O1511" s="287">
        <f t="shared" si="384"/>
        <v>0</v>
      </c>
      <c r="P1511" s="287">
        <f t="shared" si="385"/>
        <v>0</v>
      </c>
      <c r="Q1511" s="288"/>
      <c r="R1511" s="243"/>
      <c r="S1511" s="378" t="str">
        <f t="shared" si="386"/>
        <v/>
      </c>
      <c r="U1511" s="722"/>
    </row>
    <row r="1512" spans="2:21" ht="25.5" hidden="1" x14ac:dyDescent="0.2">
      <c r="B1512" s="595">
        <v>101556</v>
      </c>
      <c r="C1512" s="596" t="s">
        <v>817</v>
      </c>
      <c r="D1512" s="597" t="s">
        <v>1601</v>
      </c>
      <c r="E1512" s="589"/>
      <c r="F1512" s="590"/>
      <c r="G1512" s="591"/>
      <c r="H1512" s="592"/>
      <c r="I1512" s="631">
        <v>6.14</v>
      </c>
      <c r="J1512" s="631">
        <f t="shared" si="387"/>
        <v>6.14</v>
      </c>
      <c r="K1512" s="593">
        <f t="shared" si="383"/>
        <v>7.78</v>
      </c>
      <c r="L1512" s="382" t="s">
        <v>21</v>
      </c>
      <c r="M1512" s="30"/>
      <c r="N1512" s="30">
        <v>7.78</v>
      </c>
      <c r="O1512" s="287">
        <f t="shared" si="384"/>
        <v>0</v>
      </c>
      <c r="P1512" s="287">
        <f t="shared" si="385"/>
        <v>0</v>
      </c>
      <c r="Q1512" s="288"/>
      <c r="R1512" s="243"/>
      <c r="S1512" s="378" t="str">
        <f t="shared" si="386"/>
        <v/>
      </c>
      <c r="U1512" s="722"/>
    </row>
    <row r="1513" spans="2:21" ht="25.5" hidden="1" x14ac:dyDescent="0.2">
      <c r="B1513" s="595">
        <v>101626</v>
      </c>
      <c r="C1513" s="596" t="s">
        <v>817</v>
      </c>
      <c r="D1513" s="597" t="s">
        <v>1602</v>
      </c>
      <c r="E1513" s="589"/>
      <c r="F1513" s="590"/>
      <c r="G1513" s="591"/>
      <c r="H1513" s="592"/>
      <c r="I1513" s="631">
        <v>242.11</v>
      </c>
      <c r="J1513" s="631">
        <f t="shared" si="387"/>
        <v>242.11</v>
      </c>
      <c r="K1513" s="593">
        <f t="shared" si="383"/>
        <v>306.87</v>
      </c>
      <c r="L1513" s="382" t="s">
        <v>21</v>
      </c>
      <c r="M1513" s="30"/>
      <c r="N1513" s="30">
        <v>306.87</v>
      </c>
      <c r="O1513" s="287">
        <f t="shared" si="384"/>
        <v>0</v>
      </c>
      <c r="P1513" s="287">
        <f t="shared" si="385"/>
        <v>0</v>
      </c>
      <c r="Q1513" s="288"/>
      <c r="R1513" s="243"/>
      <c r="S1513" s="378" t="str">
        <f t="shared" si="386"/>
        <v/>
      </c>
      <c r="U1513" s="722"/>
    </row>
    <row r="1514" spans="2:21" ht="25.5" hidden="1" x14ac:dyDescent="0.2">
      <c r="B1514" s="595">
        <v>101627</v>
      </c>
      <c r="C1514" s="596" t="s">
        <v>817</v>
      </c>
      <c r="D1514" s="597" t="s">
        <v>1603</v>
      </c>
      <c r="E1514" s="589"/>
      <c r="F1514" s="590"/>
      <c r="G1514" s="591"/>
      <c r="H1514" s="592"/>
      <c r="I1514" s="631">
        <v>378.63</v>
      </c>
      <c r="J1514" s="631">
        <f t="shared" si="387"/>
        <v>378.63</v>
      </c>
      <c r="K1514" s="593">
        <f t="shared" si="383"/>
        <v>479.91</v>
      </c>
      <c r="L1514" s="382" t="s">
        <v>21</v>
      </c>
      <c r="M1514" s="30"/>
      <c r="N1514" s="30">
        <v>479.91</v>
      </c>
      <c r="O1514" s="287">
        <f t="shared" si="384"/>
        <v>0</v>
      </c>
      <c r="P1514" s="287">
        <f t="shared" si="385"/>
        <v>0</v>
      </c>
      <c r="Q1514" s="288"/>
      <c r="R1514" s="243"/>
      <c r="S1514" s="378" t="str">
        <f t="shared" si="386"/>
        <v/>
      </c>
      <c r="U1514" s="722"/>
    </row>
    <row r="1515" spans="2:21" ht="25.5" hidden="1" x14ac:dyDescent="0.2">
      <c r="B1515" s="595">
        <v>101628</v>
      </c>
      <c r="C1515" s="596" t="s">
        <v>817</v>
      </c>
      <c r="D1515" s="597" t="s">
        <v>1604</v>
      </c>
      <c r="E1515" s="589"/>
      <c r="F1515" s="590"/>
      <c r="G1515" s="591"/>
      <c r="H1515" s="592"/>
      <c r="I1515" s="631">
        <v>178.96</v>
      </c>
      <c r="J1515" s="631">
        <f t="shared" si="387"/>
        <v>178.96</v>
      </c>
      <c r="K1515" s="593">
        <f t="shared" si="383"/>
        <v>226.83</v>
      </c>
      <c r="L1515" s="382" t="s">
        <v>21</v>
      </c>
      <c r="M1515" s="30"/>
      <c r="N1515" s="30">
        <v>226.83</v>
      </c>
      <c r="O1515" s="287">
        <f t="shared" si="384"/>
        <v>0</v>
      </c>
      <c r="P1515" s="287">
        <f t="shared" si="385"/>
        <v>0</v>
      </c>
      <c r="Q1515" s="288"/>
      <c r="R1515" s="243"/>
      <c r="S1515" s="378" t="str">
        <f t="shared" si="386"/>
        <v/>
      </c>
      <c r="U1515" s="722"/>
    </row>
    <row r="1516" spans="2:21" ht="25.5" hidden="1" x14ac:dyDescent="0.2">
      <c r="B1516" s="595">
        <v>101629</v>
      </c>
      <c r="C1516" s="596" t="s">
        <v>817</v>
      </c>
      <c r="D1516" s="597" t="s">
        <v>1605</v>
      </c>
      <c r="E1516" s="589"/>
      <c r="F1516" s="590"/>
      <c r="G1516" s="591"/>
      <c r="H1516" s="592"/>
      <c r="I1516" s="631">
        <v>211.48</v>
      </c>
      <c r="J1516" s="631">
        <f t="shared" si="387"/>
        <v>211.48</v>
      </c>
      <c r="K1516" s="593">
        <f t="shared" si="383"/>
        <v>268.05</v>
      </c>
      <c r="L1516" s="382" t="s">
        <v>21</v>
      </c>
      <c r="M1516" s="30"/>
      <c r="N1516" s="30">
        <v>268.05</v>
      </c>
      <c r="O1516" s="287">
        <f t="shared" si="384"/>
        <v>0</v>
      </c>
      <c r="P1516" s="287">
        <f t="shared" si="385"/>
        <v>0</v>
      </c>
      <c r="Q1516" s="288"/>
      <c r="R1516" s="243"/>
      <c r="S1516" s="378" t="str">
        <f t="shared" si="386"/>
        <v/>
      </c>
      <c r="U1516" s="722"/>
    </row>
    <row r="1517" spans="2:21" ht="25.5" hidden="1" x14ac:dyDescent="0.2">
      <c r="B1517" s="595">
        <v>100921</v>
      </c>
      <c r="C1517" s="596" t="s">
        <v>817</v>
      </c>
      <c r="D1517" s="597" t="s">
        <v>1606</v>
      </c>
      <c r="E1517" s="589"/>
      <c r="F1517" s="590"/>
      <c r="G1517" s="591"/>
      <c r="H1517" s="592"/>
      <c r="I1517" s="631">
        <v>84.75</v>
      </c>
      <c r="J1517" s="631">
        <f t="shared" si="387"/>
        <v>84.75</v>
      </c>
      <c r="K1517" s="593">
        <f t="shared" si="383"/>
        <v>107.42</v>
      </c>
      <c r="L1517" s="382" t="s">
        <v>21</v>
      </c>
      <c r="M1517" s="30"/>
      <c r="N1517" s="30">
        <v>107.42</v>
      </c>
      <c r="O1517" s="287">
        <f t="shared" si="384"/>
        <v>0</v>
      </c>
      <c r="P1517" s="287">
        <f t="shared" si="385"/>
        <v>0</v>
      </c>
      <c r="Q1517" s="288"/>
      <c r="R1517" s="243"/>
      <c r="S1517" s="378" t="str">
        <f t="shared" si="386"/>
        <v/>
      </c>
      <c r="U1517" s="722"/>
    </row>
    <row r="1518" spans="2:21" ht="25.5" hidden="1" x14ac:dyDescent="0.2">
      <c r="B1518" s="595">
        <v>100922</v>
      </c>
      <c r="C1518" s="596" t="s">
        <v>817</v>
      </c>
      <c r="D1518" s="597" t="s">
        <v>1607</v>
      </c>
      <c r="E1518" s="589"/>
      <c r="F1518" s="590"/>
      <c r="G1518" s="591"/>
      <c r="H1518" s="592"/>
      <c r="I1518" s="631">
        <v>61.18</v>
      </c>
      <c r="J1518" s="631">
        <f t="shared" si="387"/>
        <v>61.18</v>
      </c>
      <c r="K1518" s="593">
        <f t="shared" si="383"/>
        <v>77.55</v>
      </c>
      <c r="L1518" s="382" t="s">
        <v>21</v>
      </c>
      <c r="M1518" s="30"/>
      <c r="N1518" s="30">
        <v>77.55</v>
      </c>
      <c r="O1518" s="287">
        <f t="shared" si="384"/>
        <v>0</v>
      </c>
      <c r="P1518" s="287">
        <f t="shared" si="385"/>
        <v>0</v>
      </c>
      <c r="Q1518" s="288"/>
      <c r="R1518" s="243"/>
      <c r="S1518" s="378" t="str">
        <f t="shared" si="386"/>
        <v/>
      </c>
      <c r="U1518" s="722"/>
    </row>
    <row r="1519" spans="2:21" ht="25.5" hidden="1" x14ac:dyDescent="0.2">
      <c r="B1519" s="595">
        <v>100923</v>
      </c>
      <c r="C1519" s="596" t="s">
        <v>817</v>
      </c>
      <c r="D1519" s="597" t="s">
        <v>1608</v>
      </c>
      <c r="E1519" s="589"/>
      <c r="F1519" s="590"/>
      <c r="G1519" s="591"/>
      <c r="H1519" s="592"/>
      <c r="I1519" s="631">
        <v>71.94</v>
      </c>
      <c r="J1519" s="631">
        <f t="shared" si="387"/>
        <v>71.94</v>
      </c>
      <c r="K1519" s="593">
        <f t="shared" ref="K1519:K1582" si="388">IF(ISBLANK(I1519),0,ROUND(J1519*(1+$F$10)*(1+$F$11*E1519),2))</f>
        <v>91.18</v>
      </c>
      <c r="L1519" s="382" t="s">
        <v>21</v>
      </c>
      <c r="M1519" s="30"/>
      <c r="N1519" s="30">
        <v>91.18</v>
      </c>
      <c r="O1519" s="287">
        <f t="shared" ref="O1519:O1582" si="389">IF(ISBLANK(M1519),0,ROUND(K1519*M1519,2))</f>
        <v>0</v>
      </c>
      <c r="P1519" s="287">
        <f t="shared" ref="P1519:P1582" si="390">IF(ISBLANK(N1519),0,ROUND(M1519*N1519,2))</f>
        <v>0</v>
      </c>
      <c r="Q1519" s="288"/>
      <c r="R1519" s="243"/>
      <c r="S1519" s="378" t="str">
        <f t="shared" si="386"/>
        <v/>
      </c>
      <c r="U1519" s="722"/>
    </row>
    <row r="1520" spans="2:21" ht="25.5" hidden="1" x14ac:dyDescent="0.2">
      <c r="B1520" s="595">
        <v>101661</v>
      </c>
      <c r="C1520" s="596" t="s">
        <v>817</v>
      </c>
      <c r="D1520" s="597" t="s">
        <v>1609</v>
      </c>
      <c r="E1520" s="589"/>
      <c r="F1520" s="590"/>
      <c r="G1520" s="591"/>
      <c r="H1520" s="592"/>
      <c r="I1520" s="631">
        <v>106.98</v>
      </c>
      <c r="J1520" s="631">
        <f t="shared" si="387"/>
        <v>106.98</v>
      </c>
      <c r="K1520" s="593">
        <f t="shared" si="388"/>
        <v>135.6</v>
      </c>
      <c r="L1520" s="382" t="s">
        <v>21</v>
      </c>
      <c r="M1520" s="30"/>
      <c r="N1520" s="30">
        <v>135.6</v>
      </c>
      <c r="O1520" s="287">
        <f t="shared" si="389"/>
        <v>0</v>
      </c>
      <c r="P1520" s="287">
        <f t="shared" si="390"/>
        <v>0</v>
      </c>
      <c r="Q1520" s="288"/>
      <c r="R1520" s="243"/>
      <c r="S1520" s="378" t="str">
        <f t="shared" si="386"/>
        <v/>
      </c>
      <c r="U1520" s="722"/>
    </row>
    <row r="1521" spans="2:21" hidden="1" x14ac:dyDescent="0.2">
      <c r="B1521" s="595">
        <v>101651</v>
      </c>
      <c r="C1521" s="596" t="s">
        <v>817</v>
      </c>
      <c r="D1521" s="597" t="s">
        <v>1610</v>
      </c>
      <c r="E1521" s="589"/>
      <c r="F1521" s="590"/>
      <c r="G1521" s="591"/>
      <c r="H1521" s="592"/>
      <c r="I1521" s="631">
        <v>56.66</v>
      </c>
      <c r="J1521" s="631">
        <f t="shared" si="387"/>
        <v>56.66</v>
      </c>
      <c r="K1521" s="593">
        <f t="shared" si="388"/>
        <v>71.819999999999993</v>
      </c>
      <c r="L1521" s="382" t="s">
        <v>21</v>
      </c>
      <c r="M1521" s="30"/>
      <c r="N1521" s="30">
        <v>71.819999999999993</v>
      </c>
      <c r="O1521" s="287">
        <f t="shared" si="389"/>
        <v>0</v>
      </c>
      <c r="P1521" s="287">
        <f t="shared" si="390"/>
        <v>0</v>
      </c>
      <c r="Q1521" s="288"/>
      <c r="R1521" s="243"/>
      <c r="S1521" s="378" t="str">
        <f t="shared" si="386"/>
        <v/>
      </c>
      <c r="U1521" s="722"/>
    </row>
    <row r="1522" spans="2:21" hidden="1" x14ac:dyDescent="0.2">
      <c r="B1522" s="595">
        <v>101630</v>
      </c>
      <c r="C1522" s="596" t="s">
        <v>817</v>
      </c>
      <c r="D1522" s="597" t="s">
        <v>1611</v>
      </c>
      <c r="E1522" s="589"/>
      <c r="F1522" s="590"/>
      <c r="G1522" s="591"/>
      <c r="H1522" s="592"/>
      <c r="I1522" s="631">
        <v>67.8</v>
      </c>
      <c r="J1522" s="631">
        <f t="shared" si="387"/>
        <v>67.8</v>
      </c>
      <c r="K1522" s="593">
        <f t="shared" si="388"/>
        <v>85.94</v>
      </c>
      <c r="L1522" s="382" t="s">
        <v>21</v>
      </c>
      <c r="M1522" s="30"/>
      <c r="N1522" s="30">
        <v>85.94</v>
      </c>
      <c r="O1522" s="287">
        <f t="shared" si="389"/>
        <v>0</v>
      </c>
      <c r="P1522" s="287">
        <f t="shared" si="390"/>
        <v>0</v>
      </c>
      <c r="Q1522" s="288"/>
      <c r="R1522" s="243"/>
      <c r="S1522" s="378" t="str">
        <f t="shared" si="386"/>
        <v/>
      </c>
      <c r="U1522" s="722"/>
    </row>
    <row r="1523" spans="2:21" ht="25.5" hidden="1" x14ac:dyDescent="0.2">
      <c r="B1523" s="595">
        <v>101631</v>
      </c>
      <c r="C1523" s="596" t="s">
        <v>817</v>
      </c>
      <c r="D1523" s="597" t="s">
        <v>1612</v>
      </c>
      <c r="E1523" s="589"/>
      <c r="F1523" s="590"/>
      <c r="G1523" s="591"/>
      <c r="H1523" s="592"/>
      <c r="I1523" s="631">
        <v>23.97</v>
      </c>
      <c r="J1523" s="631">
        <f t="shared" si="387"/>
        <v>23.97</v>
      </c>
      <c r="K1523" s="593">
        <f t="shared" si="388"/>
        <v>30.38</v>
      </c>
      <c r="L1523" s="382" t="s">
        <v>21</v>
      </c>
      <c r="M1523" s="30"/>
      <c r="N1523" s="30">
        <v>30.38</v>
      </c>
      <c r="O1523" s="287">
        <f t="shared" si="389"/>
        <v>0</v>
      </c>
      <c r="P1523" s="287">
        <f t="shared" si="390"/>
        <v>0</v>
      </c>
      <c r="Q1523" s="288"/>
      <c r="R1523" s="243"/>
      <c r="S1523" s="378" t="str">
        <f t="shared" si="386"/>
        <v/>
      </c>
      <c r="U1523" s="722"/>
    </row>
    <row r="1524" spans="2:21" ht="25.5" hidden="1" x14ac:dyDescent="0.2">
      <c r="B1524" s="595">
        <v>101632</v>
      </c>
      <c r="C1524" s="596" t="s">
        <v>817</v>
      </c>
      <c r="D1524" s="597" t="s">
        <v>1613</v>
      </c>
      <c r="E1524" s="589"/>
      <c r="F1524" s="590"/>
      <c r="G1524" s="591"/>
      <c r="H1524" s="592"/>
      <c r="I1524" s="631">
        <v>54.35</v>
      </c>
      <c r="J1524" s="631">
        <f t="shared" si="387"/>
        <v>54.35</v>
      </c>
      <c r="K1524" s="593">
        <f t="shared" si="388"/>
        <v>68.89</v>
      </c>
      <c r="L1524" s="382" t="s">
        <v>21</v>
      </c>
      <c r="M1524" s="30"/>
      <c r="N1524" s="30">
        <v>68.89</v>
      </c>
      <c r="O1524" s="287">
        <f t="shared" si="389"/>
        <v>0</v>
      </c>
      <c r="P1524" s="287">
        <f t="shared" si="390"/>
        <v>0</v>
      </c>
      <c r="Q1524" s="288"/>
      <c r="R1524" s="243"/>
      <c r="S1524" s="378" t="str">
        <f t="shared" si="386"/>
        <v/>
      </c>
      <c r="U1524" s="722"/>
    </row>
    <row r="1525" spans="2:21" ht="25.5" hidden="1" x14ac:dyDescent="0.2">
      <c r="B1525" s="595">
        <v>101633</v>
      </c>
      <c r="C1525" s="596" t="s">
        <v>817</v>
      </c>
      <c r="D1525" s="597" t="s">
        <v>1614</v>
      </c>
      <c r="E1525" s="589"/>
      <c r="F1525" s="590"/>
      <c r="G1525" s="591"/>
      <c r="H1525" s="592"/>
      <c r="I1525" s="631">
        <v>108.9</v>
      </c>
      <c r="J1525" s="631">
        <f t="shared" si="387"/>
        <v>108.9</v>
      </c>
      <c r="K1525" s="593">
        <f t="shared" si="388"/>
        <v>138.03</v>
      </c>
      <c r="L1525" s="382" t="s">
        <v>21</v>
      </c>
      <c r="M1525" s="30"/>
      <c r="N1525" s="30">
        <v>138.03</v>
      </c>
      <c r="O1525" s="287">
        <f t="shared" si="389"/>
        <v>0</v>
      </c>
      <c r="P1525" s="287">
        <f t="shared" si="390"/>
        <v>0</v>
      </c>
      <c r="Q1525" s="288"/>
      <c r="R1525" s="243"/>
      <c r="S1525" s="378" t="str">
        <f t="shared" ref="S1525:S1588" si="391">IF(R1525="x","x",IF(R1525="y","x",IF(R1525="xy","x",IF(P1525&gt;0,"x",""))))</f>
        <v/>
      </c>
      <c r="U1525" s="722"/>
    </row>
    <row r="1526" spans="2:21" ht="25.5" hidden="1" x14ac:dyDescent="0.2">
      <c r="B1526" s="595">
        <v>101636</v>
      </c>
      <c r="C1526" s="596" t="s">
        <v>817</v>
      </c>
      <c r="D1526" s="597" t="s">
        <v>1615</v>
      </c>
      <c r="E1526" s="589"/>
      <c r="F1526" s="590"/>
      <c r="G1526" s="591"/>
      <c r="H1526" s="592"/>
      <c r="I1526" s="631">
        <v>162.82</v>
      </c>
      <c r="J1526" s="631">
        <f t="shared" si="387"/>
        <v>162.82</v>
      </c>
      <c r="K1526" s="593">
        <f t="shared" si="388"/>
        <v>206.37</v>
      </c>
      <c r="L1526" s="382" t="s">
        <v>21</v>
      </c>
      <c r="M1526" s="30"/>
      <c r="N1526" s="30">
        <v>206.37</v>
      </c>
      <c r="O1526" s="287">
        <f t="shared" si="389"/>
        <v>0</v>
      </c>
      <c r="P1526" s="287">
        <f t="shared" si="390"/>
        <v>0</v>
      </c>
      <c r="Q1526" s="288"/>
      <c r="R1526" s="243"/>
      <c r="S1526" s="378" t="str">
        <f t="shared" si="391"/>
        <v/>
      </c>
      <c r="U1526" s="722"/>
    </row>
    <row r="1527" spans="2:21" ht="25.5" hidden="1" x14ac:dyDescent="0.2">
      <c r="B1527" s="595">
        <v>101637</v>
      </c>
      <c r="C1527" s="596" t="s">
        <v>817</v>
      </c>
      <c r="D1527" s="597" t="s">
        <v>1616</v>
      </c>
      <c r="E1527" s="589"/>
      <c r="F1527" s="590"/>
      <c r="G1527" s="591"/>
      <c r="H1527" s="592"/>
      <c r="I1527" s="631">
        <v>156.34</v>
      </c>
      <c r="J1527" s="631">
        <f t="shared" si="387"/>
        <v>156.34</v>
      </c>
      <c r="K1527" s="593">
        <f t="shared" si="388"/>
        <v>198.16</v>
      </c>
      <c r="L1527" s="382" t="s">
        <v>21</v>
      </c>
      <c r="M1527" s="30"/>
      <c r="N1527" s="30">
        <v>198.16</v>
      </c>
      <c r="O1527" s="287">
        <f t="shared" si="389"/>
        <v>0</v>
      </c>
      <c r="P1527" s="287">
        <f t="shared" si="390"/>
        <v>0</v>
      </c>
      <c r="Q1527" s="288"/>
      <c r="R1527" s="243"/>
      <c r="S1527" s="378" t="str">
        <f t="shared" si="391"/>
        <v/>
      </c>
      <c r="U1527" s="722"/>
    </row>
    <row r="1528" spans="2:21" hidden="1" x14ac:dyDescent="0.2">
      <c r="B1528" s="595">
        <v>96985</v>
      </c>
      <c r="C1528" s="596" t="s">
        <v>817</v>
      </c>
      <c r="D1528" s="597" t="s">
        <v>1617</v>
      </c>
      <c r="E1528" s="589"/>
      <c r="F1528" s="590"/>
      <c r="G1528" s="591"/>
      <c r="H1528" s="592"/>
      <c r="I1528" s="631">
        <v>82.84</v>
      </c>
      <c r="J1528" s="631">
        <f t="shared" si="387"/>
        <v>82.84</v>
      </c>
      <c r="K1528" s="593">
        <f t="shared" si="388"/>
        <v>105</v>
      </c>
      <c r="L1528" s="382" t="s">
        <v>21</v>
      </c>
      <c r="M1528" s="30"/>
      <c r="N1528" s="30">
        <v>105</v>
      </c>
      <c r="O1528" s="287">
        <f t="shared" si="389"/>
        <v>0</v>
      </c>
      <c r="P1528" s="287">
        <f t="shared" si="390"/>
        <v>0</v>
      </c>
      <c r="Q1528" s="288"/>
      <c r="R1528" s="243"/>
      <c r="S1528" s="378" t="str">
        <f t="shared" si="391"/>
        <v/>
      </c>
      <c r="U1528" s="722"/>
    </row>
    <row r="1529" spans="2:21" hidden="1" x14ac:dyDescent="0.2">
      <c r="B1529" s="595">
        <v>96986</v>
      </c>
      <c r="C1529" s="596" t="s">
        <v>817</v>
      </c>
      <c r="D1529" s="597" t="s">
        <v>1618</v>
      </c>
      <c r="E1529" s="589"/>
      <c r="F1529" s="590"/>
      <c r="G1529" s="591"/>
      <c r="H1529" s="592"/>
      <c r="I1529" s="631">
        <v>123.66</v>
      </c>
      <c r="J1529" s="631">
        <f t="shared" si="387"/>
        <v>123.66</v>
      </c>
      <c r="K1529" s="593">
        <f t="shared" si="388"/>
        <v>156.74</v>
      </c>
      <c r="L1529" s="382" t="s">
        <v>21</v>
      </c>
      <c r="M1529" s="30"/>
      <c r="N1529" s="30">
        <v>156.74</v>
      </c>
      <c r="O1529" s="287">
        <f t="shared" si="389"/>
        <v>0</v>
      </c>
      <c r="P1529" s="287">
        <f t="shared" si="390"/>
        <v>0</v>
      </c>
      <c r="Q1529" s="288"/>
      <c r="R1529" s="243"/>
      <c r="S1529" s="378" t="str">
        <f t="shared" si="391"/>
        <v/>
      </c>
      <c r="U1529" s="722"/>
    </row>
    <row r="1530" spans="2:21" hidden="1" x14ac:dyDescent="0.2">
      <c r="B1530" s="595">
        <v>96987</v>
      </c>
      <c r="C1530" s="596" t="s">
        <v>817</v>
      </c>
      <c r="D1530" s="597" t="s">
        <v>1619</v>
      </c>
      <c r="E1530" s="589"/>
      <c r="F1530" s="590"/>
      <c r="G1530" s="591"/>
      <c r="H1530" s="592"/>
      <c r="I1530" s="631">
        <v>111.16</v>
      </c>
      <c r="J1530" s="631">
        <f t="shared" si="387"/>
        <v>111.16</v>
      </c>
      <c r="K1530" s="593">
        <f t="shared" si="388"/>
        <v>140.9</v>
      </c>
      <c r="L1530" s="382" t="s">
        <v>21</v>
      </c>
      <c r="M1530" s="30"/>
      <c r="N1530" s="30">
        <v>140.9</v>
      </c>
      <c r="O1530" s="287">
        <f t="shared" si="389"/>
        <v>0</v>
      </c>
      <c r="P1530" s="287">
        <f t="shared" si="390"/>
        <v>0</v>
      </c>
      <c r="Q1530" s="288"/>
      <c r="R1530" s="243"/>
      <c r="S1530" s="378" t="str">
        <f t="shared" si="391"/>
        <v/>
      </c>
      <c r="U1530" s="722"/>
    </row>
    <row r="1531" spans="2:21" hidden="1" x14ac:dyDescent="0.2">
      <c r="B1531" s="595">
        <v>96988</v>
      </c>
      <c r="C1531" s="596" t="s">
        <v>817</v>
      </c>
      <c r="D1531" s="597" t="s">
        <v>1620</v>
      </c>
      <c r="E1531" s="589"/>
      <c r="F1531" s="590"/>
      <c r="G1531" s="591"/>
      <c r="H1531" s="592"/>
      <c r="I1531" s="631">
        <v>166.4</v>
      </c>
      <c r="J1531" s="631">
        <f t="shared" si="387"/>
        <v>166.4</v>
      </c>
      <c r="K1531" s="593">
        <f t="shared" si="388"/>
        <v>210.91</v>
      </c>
      <c r="L1531" s="382" t="s">
        <v>21</v>
      </c>
      <c r="M1531" s="30"/>
      <c r="N1531" s="30">
        <v>210.91</v>
      </c>
      <c r="O1531" s="287">
        <f t="shared" si="389"/>
        <v>0</v>
      </c>
      <c r="P1531" s="287">
        <f t="shared" si="390"/>
        <v>0</v>
      </c>
      <c r="Q1531" s="288"/>
      <c r="R1531" s="243"/>
      <c r="S1531" s="378" t="str">
        <f t="shared" si="391"/>
        <v/>
      </c>
      <c r="U1531" s="722"/>
    </row>
    <row r="1532" spans="2:21" ht="25.5" hidden="1" x14ac:dyDescent="0.2">
      <c r="B1532" s="595">
        <v>96971</v>
      </c>
      <c r="C1532" s="596" t="s">
        <v>817</v>
      </c>
      <c r="D1532" s="597" t="s">
        <v>1621</v>
      </c>
      <c r="E1532" s="589"/>
      <c r="F1532" s="590"/>
      <c r="G1532" s="591"/>
      <c r="H1532" s="592"/>
      <c r="I1532" s="631">
        <v>35.049999999999997</v>
      </c>
      <c r="J1532" s="631">
        <f t="shared" si="387"/>
        <v>35.049999999999997</v>
      </c>
      <c r="K1532" s="593">
        <f t="shared" si="388"/>
        <v>44.43</v>
      </c>
      <c r="L1532" s="382" t="s">
        <v>19</v>
      </c>
      <c r="M1532" s="30"/>
      <c r="N1532" s="30">
        <v>44.43</v>
      </c>
      <c r="O1532" s="287">
        <f t="shared" si="389"/>
        <v>0</v>
      </c>
      <c r="P1532" s="287">
        <f t="shared" si="390"/>
        <v>0</v>
      </c>
      <c r="Q1532" s="288"/>
      <c r="R1532" s="243"/>
      <c r="S1532" s="378" t="str">
        <f t="shared" si="391"/>
        <v/>
      </c>
      <c r="U1532" s="722"/>
    </row>
    <row r="1533" spans="2:21" ht="25.5" hidden="1" x14ac:dyDescent="0.2">
      <c r="B1533" s="595">
        <v>96972</v>
      </c>
      <c r="C1533" s="596" t="s">
        <v>817</v>
      </c>
      <c r="D1533" s="597" t="s">
        <v>1622</v>
      </c>
      <c r="E1533" s="589"/>
      <c r="F1533" s="590"/>
      <c r="G1533" s="591"/>
      <c r="H1533" s="592"/>
      <c r="I1533" s="631">
        <v>49.45</v>
      </c>
      <c r="J1533" s="631">
        <f t="shared" si="387"/>
        <v>49.45</v>
      </c>
      <c r="K1533" s="593">
        <f t="shared" si="388"/>
        <v>62.68</v>
      </c>
      <c r="L1533" s="382" t="s">
        <v>19</v>
      </c>
      <c r="M1533" s="30"/>
      <c r="N1533" s="30">
        <v>62.68</v>
      </c>
      <c r="O1533" s="287">
        <f t="shared" si="389"/>
        <v>0</v>
      </c>
      <c r="P1533" s="287">
        <f t="shared" si="390"/>
        <v>0</v>
      </c>
      <c r="Q1533" s="288"/>
      <c r="R1533" s="243"/>
      <c r="S1533" s="378" t="str">
        <f t="shared" si="391"/>
        <v/>
      </c>
      <c r="U1533" s="722"/>
    </row>
    <row r="1534" spans="2:21" ht="25.5" hidden="1" x14ac:dyDescent="0.2">
      <c r="B1534" s="595">
        <v>96973</v>
      </c>
      <c r="C1534" s="596" t="s">
        <v>817</v>
      </c>
      <c r="D1534" s="597" t="s">
        <v>1623</v>
      </c>
      <c r="E1534" s="589"/>
      <c r="F1534" s="590"/>
      <c r="G1534" s="591"/>
      <c r="H1534" s="592"/>
      <c r="I1534" s="631">
        <v>63.53</v>
      </c>
      <c r="J1534" s="631">
        <f t="shared" si="387"/>
        <v>63.53</v>
      </c>
      <c r="K1534" s="593">
        <f t="shared" si="388"/>
        <v>80.52</v>
      </c>
      <c r="L1534" s="382" t="s">
        <v>19</v>
      </c>
      <c r="M1534" s="30"/>
      <c r="N1534" s="30">
        <v>80.52</v>
      </c>
      <c r="O1534" s="287">
        <f t="shared" si="389"/>
        <v>0</v>
      </c>
      <c r="P1534" s="287">
        <f t="shared" si="390"/>
        <v>0</v>
      </c>
      <c r="Q1534" s="288"/>
      <c r="R1534" s="243"/>
      <c r="S1534" s="378" t="str">
        <f t="shared" si="391"/>
        <v/>
      </c>
      <c r="U1534" s="722"/>
    </row>
    <row r="1535" spans="2:21" ht="25.5" hidden="1" x14ac:dyDescent="0.2">
      <c r="B1535" s="595">
        <v>96974</v>
      </c>
      <c r="C1535" s="596" t="s">
        <v>817</v>
      </c>
      <c r="D1535" s="597" t="s">
        <v>1624</v>
      </c>
      <c r="E1535" s="589"/>
      <c r="F1535" s="590"/>
      <c r="G1535" s="591"/>
      <c r="H1535" s="592"/>
      <c r="I1535" s="631">
        <v>82.3</v>
      </c>
      <c r="J1535" s="631">
        <f t="shared" si="387"/>
        <v>82.3</v>
      </c>
      <c r="K1535" s="593">
        <f t="shared" si="388"/>
        <v>104.32</v>
      </c>
      <c r="L1535" s="382" t="s">
        <v>19</v>
      </c>
      <c r="M1535" s="30"/>
      <c r="N1535" s="30">
        <v>104.32</v>
      </c>
      <c r="O1535" s="287">
        <f t="shared" si="389"/>
        <v>0</v>
      </c>
      <c r="P1535" s="287">
        <f t="shared" si="390"/>
        <v>0</v>
      </c>
      <c r="Q1535" s="288"/>
      <c r="R1535" s="243"/>
      <c r="S1535" s="378" t="str">
        <f t="shared" si="391"/>
        <v/>
      </c>
      <c r="U1535" s="722"/>
    </row>
    <row r="1536" spans="2:21" ht="25.5" hidden="1" x14ac:dyDescent="0.2">
      <c r="B1536" s="595">
        <v>96975</v>
      </c>
      <c r="C1536" s="596" t="s">
        <v>817</v>
      </c>
      <c r="D1536" s="597" t="s">
        <v>1625</v>
      </c>
      <c r="E1536" s="589"/>
      <c r="F1536" s="590"/>
      <c r="G1536" s="591"/>
      <c r="H1536" s="592"/>
      <c r="I1536" s="631">
        <v>107.67</v>
      </c>
      <c r="J1536" s="631">
        <f t="shared" si="387"/>
        <v>107.67</v>
      </c>
      <c r="K1536" s="593">
        <f t="shared" si="388"/>
        <v>136.47</v>
      </c>
      <c r="L1536" s="382" t="s">
        <v>19</v>
      </c>
      <c r="M1536" s="30"/>
      <c r="N1536" s="30">
        <v>136.47</v>
      </c>
      <c r="O1536" s="287">
        <f t="shared" si="389"/>
        <v>0</v>
      </c>
      <c r="P1536" s="287">
        <f t="shared" si="390"/>
        <v>0</v>
      </c>
      <c r="Q1536" s="288"/>
      <c r="R1536" s="243"/>
      <c r="S1536" s="378" t="str">
        <f t="shared" si="391"/>
        <v/>
      </c>
      <c r="U1536" s="722"/>
    </row>
    <row r="1537" spans="2:21" ht="25.5" hidden="1" x14ac:dyDescent="0.2">
      <c r="B1537" s="595">
        <v>96976</v>
      </c>
      <c r="C1537" s="596" t="s">
        <v>817</v>
      </c>
      <c r="D1537" s="597" t="s">
        <v>1626</v>
      </c>
      <c r="E1537" s="589"/>
      <c r="F1537" s="590"/>
      <c r="G1537" s="591"/>
      <c r="H1537" s="592"/>
      <c r="I1537" s="631">
        <v>141.65</v>
      </c>
      <c r="J1537" s="631">
        <f t="shared" si="387"/>
        <v>141.65</v>
      </c>
      <c r="K1537" s="593">
        <f t="shared" si="388"/>
        <v>179.54</v>
      </c>
      <c r="L1537" s="382" t="s">
        <v>19</v>
      </c>
      <c r="M1537" s="30"/>
      <c r="N1537" s="30">
        <v>179.54</v>
      </c>
      <c r="O1537" s="287">
        <f t="shared" si="389"/>
        <v>0</v>
      </c>
      <c r="P1537" s="287">
        <f t="shared" si="390"/>
        <v>0</v>
      </c>
      <c r="Q1537" s="288"/>
      <c r="R1537" s="243"/>
      <c r="S1537" s="378" t="str">
        <f t="shared" si="391"/>
        <v/>
      </c>
      <c r="U1537" s="722"/>
    </row>
    <row r="1538" spans="2:21" ht="25.5" hidden="1" x14ac:dyDescent="0.2">
      <c r="B1538" s="595">
        <v>96977</v>
      </c>
      <c r="C1538" s="596" t="s">
        <v>817</v>
      </c>
      <c r="D1538" s="597" t="s">
        <v>1627</v>
      </c>
      <c r="E1538" s="589"/>
      <c r="F1538" s="590"/>
      <c r="G1538" s="591"/>
      <c r="H1538" s="592"/>
      <c r="I1538" s="631">
        <v>57.88</v>
      </c>
      <c r="J1538" s="631">
        <f t="shared" si="387"/>
        <v>57.88</v>
      </c>
      <c r="K1538" s="593">
        <f t="shared" si="388"/>
        <v>73.36</v>
      </c>
      <c r="L1538" s="382" t="s">
        <v>19</v>
      </c>
      <c r="M1538" s="30"/>
      <c r="N1538" s="30">
        <v>73.36</v>
      </c>
      <c r="O1538" s="287">
        <f t="shared" si="389"/>
        <v>0</v>
      </c>
      <c r="P1538" s="287">
        <f t="shared" si="390"/>
        <v>0</v>
      </c>
      <c r="Q1538" s="288"/>
      <c r="R1538" s="243"/>
      <c r="S1538" s="378" t="str">
        <f t="shared" si="391"/>
        <v/>
      </c>
      <c r="U1538" s="722"/>
    </row>
    <row r="1539" spans="2:21" ht="25.5" hidden="1" x14ac:dyDescent="0.2">
      <c r="B1539" s="595">
        <v>96978</v>
      </c>
      <c r="C1539" s="596" t="s">
        <v>817</v>
      </c>
      <c r="D1539" s="597" t="s">
        <v>1628</v>
      </c>
      <c r="E1539" s="589"/>
      <c r="F1539" s="590"/>
      <c r="G1539" s="591"/>
      <c r="H1539" s="592"/>
      <c r="I1539" s="631">
        <v>81.22</v>
      </c>
      <c r="J1539" s="631">
        <f t="shared" si="387"/>
        <v>81.22</v>
      </c>
      <c r="K1539" s="593">
        <f t="shared" si="388"/>
        <v>102.95</v>
      </c>
      <c r="L1539" s="382" t="s">
        <v>19</v>
      </c>
      <c r="M1539" s="30"/>
      <c r="N1539" s="30">
        <v>102.95</v>
      </c>
      <c r="O1539" s="287">
        <f t="shared" si="389"/>
        <v>0</v>
      </c>
      <c r="P1539" s="287">
        <f t="shared" si="390"/>
        <v>0</v>
      </c>
      <c r="Q1539" s="288"/>
      <c r="R1539" s="243"/>
      <c r="S1539" s="378" t="str">
        <f t="shared" si="391"/>
        <v/>
      </c>
      <c r="U1539" s="722"/>
    </row>
    <row r="1540" spans="2:21" ht="25.5" hidden="1" x14ac:dyDescent="0.2">
      <c r="B1540" s="595">
        <v>96979</v>
      </c>
      <c r="C1540" s="596" t="s">
        <v>817</v>
      </c>
      <c r="D1540" s="597" t="s">
        <v>1629</v>
      </c>
      <c r="E1540" s="589"/>
      <c r="F1540" s="590"/>
      <c r="G1540" s="591"/>
      <c r="H1540" s="592"/>
      <c r="I1540" s="631">
        <v>113.88</v>
      </c>
      <c r="J1540" s="631">
        <f t="shared" si="387"/>
        <v>113.88</v>
      </c>
      <c r="K1540" s="593">
        <f t="shared" si="388"/>
        <v>144.34</v>
      </c>
      <c r="L1540" s="382" t="s">
        <v>19</v>
      </c>
      <c r="M1540" s="30"/>
      <c r="N1540" s="30">
        <v>144.34</v>
      </c>
      <c r="O1540" s="287">
        <f t="shared" si="389"/>
        <v>0</v>
      </c>
      <c r="P1540" s="287">
        <f t="shared" si="390"/>
        <v>0</v>
      </c>
      <c r="Q1540" s="288"/>
      <c r="R1540" s="243"/>
      <c r="S1540" s="378" t="str">
        <f t="shared" si="391"/>
        <v/>
      </c>
      <c r="U1540" s="722"/>
    </row>
    <row r="1541" spans="2:21" hidden="1" x14ac:dyDescent="0.2">
      <c r="B1541" s="595">
        <v>96989</v>
      </c>
      <c r="C1541" s="596" t="s">
        <v>817</v>
      </c>
      <c r="D1541" s="597" t="s">
        <v>1630</v>
      </c>
      <c r="E1541" s="589"/>
      <c r="F1541" s="590"/>
      <c r="G1541" s="591"/>
      <c r="H1541" s="592"/>
      <c r="I1541" s="631">
        <v>139.24</v>
      </c>
      <c r="J1541" s="631">
        <f t="shared" si="387"/>
        <v>139.24</v>
      </c>
      <c r="K1541" s="593">
        <f t="shared" si="388"/>
        <v>176.49</v>
      </c>
      <c r="L1541" s="382" t="s">
        <v>21</v>
      </c>
      <c r="M1541" s="30"/>
      <c r="N1541" s="30">
        <v>176.49</v>
      </c>
      <c r="O1541" s="287">
        <f t="shared" si="389"/>
        <v>0</v>
      </c>
      <c r="P1541" s="287">
        <f t="shared" si="390"/>
        <v>0</v>
      </c>
      <c r="Q1541" s="288"/>
      <c r="R1541" s="243"/>
      <c r="S1541" s="378" t="str">
        <f t="shared" si="391"/>
        <v/>
      </c>
      <c r="U1541" s="722"/>
    </row>
    <row r="1542" spans="2:21" hidden="1" x14ac:dyDescent="0.2">
      <c r="B1542" s="595">
        <v>98463</v>
      </c>
      <c r="C1542" s="596" t="s">
        <v>817</v>
      </c>
      <c r="D1542" s="597" t="s">
        <v>1631</v>
      </c>
      <c r="E1542" s="589"/>
      <c r="F1542" s="590"/>
      <c r="G1542" s="591"/>
      <c r="H1542" s="592"/>
      <c r="I1542" s="631">
        <v>24.33</v>
      </c>
      <c r="J1542" s="631">
        <f t="shared" si="387"/>
        <v>24.33</v>
      </c>
      <c r="K1542" s="593">
        <f t="shared" si="388"/>
        <v>30.84</v>
      </c>
      <c r="L1542" s="382" t="s">
        <v>21</v>
      </c>
      <c r="M1542" s="30"/>
      <c r="N1542" s="30">
        <v>30.84</v>
      </c>
      <c r="O1542" s="287">
        <f t="shared" si="389"/>
        <v>0</v>
      </c>
      <c r="P1542" s="287">
        <f t="shared" si="390"/>
        <v>0</v>
      </c>
      <c r="Q1542" s="288"/>
      <c r="R1542" s="243"/>
      <c r="S1542" s="378" t="str">
        <f t="shared" si="391"/>
        <v/>
      </c>
      <c r="U1542" s="722"/>
    </row>
    <row r="1543" spans="2:21" ht="25.5" hidden="1" x14ac:dyDescent="0.2">
      <c r="B1543" s="595">
        <v>100560</v>
      </c>
      <c r="C1543" s="596" t="s">
        <v>817</v>
      </c>
      <c r="D1543" s="597" t="s">
        <v>1632</v>
      </c>
      <c r="E1543" s="589"/>
      <c r="F1543" s="590"/>
      <c r="G1543" s="591"/>
      <c r="H1543" s="592"/>
      <c r="I1543" s="631">
        <v>126.36</v>
      </c>
      <c r="J1543" s="631">
        <f t="shared" si="387"/>
        <v>126.36</v>
      </c>
      <c r="K1543" s="593">
        <f t="shared" si="388"/>
        <v>160.16</v>
      </c>
      <c r="L1543" s="382" t="s">
        <v>21</v>
      </c>
      <c r="M1543" s="30"/>
      <c r="N1543" s="30">
        <v>160.16</v>
      </c>
      <c r="O1543" s="287">
        <f t="shared" si="389"/>
        <v>0</v>
      </c>
      <c r="P1543" s="287">
        <f t="shared" si="390"/>
        <v>0</v>
      </c>
      <c r="Q1543" s="288"/>
      <c r="R1543" s="243"/>
      <c r="S1543" s="378" t="str">
        <f t="shared" si="391"/>
        <v/>
      </c>
      <c r="U1543" s="722"/>
    </row>
    <row r="1544" spans="2:21" ht="25.5" hidden="1" x14ac:dyDescent="0.2">
      <c r="B1544" s="595">
        <v>100561</v>
      </c>
      <c r="C1544" s="596" t="s">
        <v>817</v>
      </c>
      <c r="D1544" s="597" t="s">
        <v>1633</v>
      </c>
      <c r="E1544" s="589"/>
      <c r="F1544" s="590"/>
      <c r="G1544" s="591"/>
      <c r="H1544" s="592"/>
      <c r="I1544" s="631">
        <v>232.45</v>
      </c>
      <c r="J1544" s="631">
        <f t="shared" si="387"/>
        <v>232.45</v>
      </c>
      <c r="K1544" s="593">
        <f t="shared" si="388"/>
        <v>294.63</v>
      </c>
      <c r="L1544" s="382" t="s">
        <v>21</v>
      </c>
      <c r="M1544" s="30"/>
      <c r="N1544" s="30">
        <v>294.63</v>
      </c>
      <c r="O1544" s="287">
        <f t="shared" si="389"/>
        <v>0</v>
      </c>
      <c r="P1544" s="287">
        <f t="shared" si="390"/>
        <v>0</v>
      </c>
      <c r="Q1544" s="288"/>
      <c r="R1544" s="243"/>
      <c r="S1544" s="378" t="str">
        <f t="shared" si="391"/>
        <v/>
      </c>
      <c r="U1544" s="722"/>
    </row>
    <row r="1545" spans="2:21" ht="25.5" hidden="1" x14ac:dyDescent="0.2">
      <c r="B1545" s="595">
        <v>100562</v>
      </c>
      <c r="C1545" s="596" t="s">
        <v>817</v>
      </c>
      <c r="D1545" s="597" t="s">
        <v>1634</v>
      </c>
      <c r="E1545" s="589"/>
      <c r="F1545" s="590"/>
      <c r="G1545" s="591"/>
      <c r="H1545" s="592"/>
      <c r="I1545" s="631">
        <v>360.31</v>
      </c>
      <c r="J1545" s="631">
        <f t="shared" si="387"/>
        <v>360.31</v>
      </c>
      <c r="K1545" s="593">
        <f t="shared" si="388"/>
        <v>456.69</v>
      </c>
      <c r="L1545" s="382" t="s">
        <v>21</v>
      </c>
      <c r="M1545" s="30"/>
      <c r="N1545" s="30">
        <v>456.69</v>
      </c>
      <c r="O1545" s="287">
        <f t="shared" si="389"/>
        <v>0</v>
      </c>
      <c r="P1545" s="287">
        <f t="shared" si="390"/>
        <v>0</v>
      </c>
      <c r="Q1545" s="288"/>
      <c r="R1545" s="243"/>
      <c r="S1545" s="378" t="str">
        <f t="shared" si="391"/>
        <v/>
      </c>
      <c r="U1545" s="722"/>
    </row>
    <row r="1546" spans="2:21" ht="25.5" hidden="1" x14ac:dyDescent="0.2">
      <c r="B1546" s="595">
        <v>100563</v>
      </c>
      <c r="C1546" s="596" t="s">
        <v>817</v>
      </c>
      <c r="D1546" s="597" t="s">
        <v>1635</v>
      </c>
      <c r="E1546" s="589"/>
      <c r="F1546" s="590"/>
      <c r="G1546" s="591"/>
      <c r="H1546" s="592"/>
      <c r="I1546" s="631">
        <v>519.54</v>
      </c>
      <c r="J1546" s="631">
        <f t="shared" si="387"/>
        <v>519.54</v>
      </c>
      <c r="K1546" s="593">
        <f t="shared" si="388"/>
        <v>658.52</v>
      </c>
      <c r="L1546" s="382" t="s">
        <v>21</v>
      </c>
      <c r="M1546" s="30"/>
      <c r="N1546" s="30">
        <v>658.52</v>
      </c>
      <c r="O1546" s="287">
        <f t="shared" si="389"/>
        <v>0</v>
      </c>
      <c r="P1546" s="287">
        <f t="shared" si="390"/>
        <v>0</v>
      </c>
      <c r="Q1546" s="288"/>
      <c r="R1546" s="243"/>
      <c r="S1546" s="378" t="str">
        <f t="shared" si="391"/>
        <v/>
      </c>
      <c r="U1546" s="722"/>
    </row>
    <row r="1547" spans="2:21" ht="25.5" hidden="1" x14ac:dyDescent="0.2">
      <c r="B1547" s="595">
        <v>100556</v>
      </c>
      <c r="C1547" s="596" t="s">
        <v>817</v>
      </c>
      <c r="D1547" s="597" t="s">
        <v>1636</v>
      </c>
      <c r="E1547" s="589"/>
      <c r="F1547" s="590"/>
      <c r="G1547" s="591"/>
      <c r="H1547" s="592"/>
      <c r="I1547" s="631">
        <v>46.72</v>
      </c>
      <c r="J1547" s="631">
        <f t="shared" si="387"/>
        <v>46.72</v>
      </c>
      <c r="K1547" s="593">
        <f t="shared" si="388"/>
        <v>59.22</v>
      </c>
      <c r="L1547" s="382" t="s">
        <v>21</v>
      </c>
      <c r="M1547" s="30"/>
      <c r="N1547" s="30">
        <v>59.22</v>
      </c>
      <c r="O1547" s="287">
        <f t="shared" si="389"/>
        <v>0</v>
      </c>
      <c r="P1547" s="287">
        <f t="shared" si="390"/>
        <v>0</v>
      </c>
      <c r="Q1547" s="288"/>
      <c r="R1547" s="243"/>
      <c r="S1547" s="378" t="str">
        <f t="shared" si="391"/>
        <v/>
      </c>
      <c r="U1547" s="722"/>
    </row>
    <row r="1548" spans="2:21" ht="25.5" hidden="1" x14ac:dyDescent="0.2">
      <c r="B1548" s="595">
        <v>100557</v>
      </c>
      <c r="C1548" s="596" t="s">
        <v>817</v>
      </c>
      <c r="D1548" s="597" t="s">
        <v>1637</v>
      </c>
      <c r="E1548" s="589"/>
      <c r="F1548" s="590"/>
      <c r="G1548" s="591"/>
      <c r="H1548" s="592"/>
      <c r="I1548" s="631">
        <v>596.99</v>
      </c>
      <c r="J1548" s="631">
        <f t="shared" si="387"/>
        <v>596.99</v>
      </c>
      <c r="K1548" s="593">
        <f t="shared" si="388"/>
        <v>756.68</v>
      </c>
      <c r="L1548" s="382" t="s">
        <v>21</v>
      </c>
      <c r="M1548" s="30"/>
      <c r="N1548" s="30">
        <v>756.68</v>
      </c>
      <c r="O1548" s="287">
        <f t="shared" si="389"/>
        <v>0</v>
      </c>
      <c r="P1548" s="287">
        <f t="shared" si="390"/>
        <v>0</v>
      </c>
      <c r="Q1548" s="288"/>
      <c r="R1548" s="243"/>
      <c r="S1548" s="378" t="str">
        <f t="shared" si="391"/>
        <v/>
      </c>
      <c r="U1548" s="722"/>
    </row>
    <row r="1549" spans="2:21" ht="25.5" hidden="1" x14ac:dyDescent="0.2">
      <c r="B1549" s="595">
        <v>98294</v>
      </c>
      <c r="C1549" s="596" t="s">
        <v>817</v>
      </c>
      <c r="D1549" s="597" t="s">
        <v>1638</v>
      </c>
      <c r="E1549" s="589"/>
      <c r="F1549" s="590"/>
      <c r="G1549" s="591"/>
      <c r="H1549" s="592"/>
      <c r="I1549" s="631">
        <v>2.96</v>
      </c>
      <c r="J1549" s="631">
        <f t="shared" si="387"/>
        <v>2.96</v>
      </c>
      <c r="K1549" s="593">
        <f t="shared" si="388"/>
        <v>3.75</v>
      </c>
      <c r="L1549" s="382" t="s">
        <v>19</v>
      </c>
      <c r="M1549" s="30"/>
      <c r="N1549" s="30">
        <v>3.75</v>
      </c>
      <c r="O1549" s="287">
        <f t="shared" si="389"/>
        <v>0</v>
      </c>
      <c r="P1549" s="287">
        <f t="shared" si="390"/>
        <v>0</v>
      </c>
      <c r="Q1549" s="288"/>
      <c r="R1549" s="243"/>
      <c r="S1549" s="378" t="str">
        <f t="shared" si="391"/>
        <v/>
      </c>
      <c r="U1549" s="722"/>
    </row>
    <row r="1550" spans="2:21" ht="25.5" hidden="1" x14ac:dyDescent="0.2">
      <c r="B1550" s="595">
        <v>98295</v>
      </c>
      <c r="C1550" s="596" t="s">
        <v>817</v>
      </c>
      <c r="D1550" s="597" t="s">
        <v>1639</v>
      </c>
      <c r="E1550" s="589"/>
      <c r="F1550" s="590"/>
      <c r="G1550" s="591"/>
      <c r="H1550" s="592"/>
      <c r="I1550" s="631">
        <v>2.25</v>
      </c>
      <c r="J1550" s="631">
        <f t="shared" si="387"/>
        <v>2.25</v>
      </c>
      <c r="K1550" s="593">
        <f t="shared" si="388"/>
        <v>2.85</v>
      </c>
      <c r="L1550" s="382" t="s">
        <v>19</v>
      </c>
      <c r="M1550" s="30"/>
      <c r="N1550" s="30">
        <v>2.85</v>
      </c>
      <c r="O1550" s="287">
        <f t="shared" si="389"/>
        <v>0</v>
      </c>
      <c r="P1550" s="287">
        <f t="shared" si="390"/>
        <v>0</v>
      </c>
      <c r="Q1550" s="288"/>
      <c r="R1550" s="243"/>
      <c r="S1550" s="378" t="str">
        <f t="shared" si="391"/>
        <v/>
      </c>
      <c r="U1550" s="722"/>
    </row>
    <row r="1551" spans="2:21" ht="25.5" hidden="1" x14ac:dyDescent="0.2">
      <c r="B1551" s="595">
        <v>98296</v>
      </c>
      <c r="C1551" s="596" t="s">
        <v>817</v>
      </c>
      <c r="D1551" s="597" t="s">
        <v>1640</v>
      </c>
      <c r="E1551" s="589"/>
      <c r="F1551" s="590"/>
      <c r="G1551" s="591"/>
      <c r="H1551" s="592"/>
      <c r="I1551" s="631">
        <v>4.55</v>
      </c>
      <c r="J1551" s="631">
        <f t="shared" si="387"/>
        <v>4.55</v>
      </c>
      <c r="K1551" s="593">
        <f t="shared" si="388"/>
        <v>5.77</v>
      </c>
      <c r="L1551" s="382" t="s">
        <v>19</v>
      </c>
      <c r="M1551" s="30"/>
      <c r="N1551" s="30">
        <v>5.77</v>
      </c>
      <c r="O1551" s="287">
        <f t="shared" si="389"/>
        <v>0</v>
      </c>
      <c r="P1551" s="287">
        <f t="shared" si="390"/>
        <v>0</v>
      </c>
      <c r="Q1551" s="288"/>
      <c r="R1551" s="243"/>
      <c r="S1551" s="378" t="str">
        <f t="shared" si="391"/>
        <v/>
      </c>
      <c r="U1551" s="722"/>
    </row>
    <row r="1552" spans="2:21" ht="25.5" hidden="1" x14ac:dyDescent="0.2">
      <c r="B1552" s="595">
        <v>98297</v>
      </c>
      <c r="C1552" s="596" t="s">
        <v>817</v>
      </c>
      <c r="D1552" s="597" t="s">
        <v>1641</v>
      </c>
      <c r="E1552" s="589"/>
      <c r="F1552" s="590"/>
      <c r="G1552" s="591"/>
      <c r="H1552" s="592"/>
      <c r="I1552" s="631">
        <v>3.4</v>
      </c>
      <c r="J1552" s="631">
        <f t="shared" si="387"/>
        <v>3.4</v>
      </c>
      <c r="K1552" s="593">
        <f t="shared" si="388"/>
        <v>4.3099999999999996</v>
      </c>
      <c r="L1552" s="382" t="s">
        <v>19</v>
      </c>
      <c r="M1552" s="30"/>
      <c r="N1552" s="30">
        <v>4.3099999999999996</v>
      </c>
      <c r="O1552" s="287">
        <f t="shared" si="389"/>
        <v>0</v>
      </c>
      <c r="P1552" s="287">
        <f t="shared" si="390"/>
        <v>0</v>
      </c>
      <c r="Q1552" s="288"/>
      <c r="R1552" s="243"/>
      <c r="S1552" s="378" t="str">
        <f t="shared" si="391"/>
        <v/>
      </c>
      <c r="U1552" s="722"/>
    </row>
    <row r="1553" spans="2:21" hidden="1" x14ac:dyDescent="0.2">
      <c r="B1553" s="595">
        <v>98301</v>
      </c>
      <c r="C1553" s="596" t="s">
        <v>817</v>
      </c>
      <c r="D1553" s="597" t="s">
        <v>1642</v>
      </c>
      <c r="E1553" s="589"/>
      <c r="F1553" s="590"/>
      <c r="G1553" s="591"/>
      <c r="H1553" s="592"/>
      <c r="I1553" s="631">
        <v>640.11</v>
      </c>
      <c r="J1553" s="631">
        <f t="shared" si="387"/>
        <v>640.11</v>
      </c>
      <c r="K1553" s="593">
        <f t="shared" si="388"/>
        <v>811.34</v>
      </c>
      <c r="L1553" s="382" t="s">
        <v>21</v>
      </c>
      <c r="M1553" s="30"/>
      <c r="N1553" s="30">
        <v>811.34</v>
      </c>
      <c r="O1553" s="287">
        <f t="shared" si="389"/>
        <v>0</v>
      </c>
      <c r="P1553" s="287">
        <f t="shared" si="390"/>
        <v>0</v>
      </c>
      <c r="Q1553" s="288"/>
      <c r="R1553" s="243"/>
      <c r="S1553" s="378" t="str">
        <f t="shared" si="391"/>
        <v/>
      </c>
      <c r="U1553" s="722"/>
    </row>
    <row r="1554" spans="2:21" hidden="1" x14ac:dyDescent="0.2">
      <c r="B1554" s="595">
        <v>98302</v>
      </c>
      <c r="C1554" s="596" t="s">
        <v>817</v>
      </c>
      <c r="D1554" s="597" t="s">
        <v>1643</v>
      </c>
      <c r="E1554" s="589"/>
      <c r="F1554" s="590"/>
      <c r="G1554" s="591"/>
      <c r="H1554" s="592"/>
      <c r="I1554" s="631">
        <v>881.57</v>
      </c>
      <c r="J1554" s="631">
        <f t="shared" si="387"/>
        <v>881.57</v>
      </c>
      <c r="K1554" s="593">
        <f t="shared" si="388"/>
        <v>1117.3900000000001</v>
      </c>
      <c r="L1554" s="382" t="s">
        <v>21</v>
      </c>
      <c r="M1554" s="30"/>
      <c r="N1554" s="30">
        <v>1117.3900000000001</v>
      </c>
      <c r="O1554" s="287">
        <f t="shared" si="389"/>
        <v>0</v>
      </c>
      <c r="P1554" s="287">
        <f t="shared" si="390"/>
        <v>0</v>
      </c>
      <c r="Q1554" s="288"/>
      <c r="R1554" s="243"/>
      <c r="S1554" s="378" t="str">
        <f t="shared" si="391"/>
        <v/>
      </c>
      <c r="U1554" s="722"/>
    </row>
    <row r="1555" spans="2:21" hidden="1" x14ac:dyDescent="0.2">
      <c r="B1555" s="595">
        <v>98304</v>
      </c>
      <c r="C1555" s="596" t="s">
        <v>817</v>
      </c>
      <c r="D1555" s="597" t="s">
        <v>1644</v>
      </c>
      <c r="E1555" s="589"/>
      <c r="F1555" s="590"/>
      <c r="G1555" s="591"/>
      <c r="H1555" s="592"/>
      <c r="I1555" s="631">
        <v>1390.18</v>
      </c>
      <c r="J1555" s="631">
        <f t="shared" si="387"/>
        <v>1390.18</v>
      </c>
      <c r="K1555" s="593">
        <f t="shared" si="388"/>
        <v>1762.05</v>
      </c>
      <c r="L1555" s="382" t="s">
        <v>21</v>
      </c>
      <c r="M1555" s="30"/>
      <c r="N1555" s="30">
        <v>1762.05</v>
      </c>
      <c r="O1555" s="287">
        <f t="shared" si="389"/>
        <v>0</v>
      </c>
      <c r="P1555" s="287">
        <f t="shared" si="390"/>
        <v>0</v>
      </c>
      <c r="Q1555" s="288"/>
      <c r="R1555" s="243"/>
      <c r="S1555" s="378" t="str">
        <f t="shared" si="391"/>
        <v/>
      </c>
      <c r="U1555" s="722"/>
    </row>
    <row r="1556" spans="2:21" hidden="1" x14ac:dyDescent="0.2">
      <c r="B1556" s="595">
        <v>98307</v>
      </c>
      <c r="C1556" s="596" t="s">
        <v>817</v>
      </c>
      <c r="D1556" s="597" t="s">
        <v>1645</v>
      </c>
      <c r="E1556" s="589"/>
      <c r="F1556" s="590"/>
      <c r="G1556" s="591"/>
      <c r="H1556" s="592"/>
      <c r="I1556" s="631">
        <v>58.35</v>
      </c>
      <c r="J1556" s="631">
        <f t="shared" si="387"/>
        <v>58.35</v>
      </c>
      <c r="K1556" s="593">
        <f t="shared" si="388"/>
        <v>73.959999999999994</v>
      </c>
      <c r="L1556" s="382" t="s">
        <v>21</v>
      </c>
      <c r="M1556" s="30"/>
      <c r="N1556" s="30">
        <v>73.959999999999994</v>
      </c>
      <c r="O1556" s="287">
        <f t="shared" si="389"/>
        <v>0</v>
      </c>
      <c r="P1556" s="287">
        <f t="shared" si="390"/>
        <v>0</v>
      </c>
      <c r="Q1556" s="288"/>
      <c r="R1556" s="243"/>
      <c r="S1556" s="378" t="str">
        <f t="shared" si="391"/>
        <v/>
      </c>
      <c r="U1556" s="722"/>
    </row>
    <row r="1557" spans="2:21" hidden="1" x14ac:dyDescent="0.2">
      <c r="B1557" s="595">
        <v>98308</v>
      </c>
      <c r="C1557" s="596" t="s">
        <v>817</v>
      </c>
      <c r="D1557" s="597" t="s">
        <v>1646</v>
      </c>
      <c r="E1557" s="589"/>
      <c r="F1557" s="590"/>
      <c r="G1557" s="591"/>
      <c r="H1557" s="592"/>
      <c r="I1557" s="631">
        <v>37.6</v>
      </c>
      <c r="J1557" s="631">
        <f t="shared" ref="J1557:J1603" si="392">IF(ISBLANK(I1557),"",SUM(H1557:I1557))</f>
        <v>37.6</v>
      </c>
      <c r="K1557" s="593">
        <f t="shared" si="388"/>
        <v>47.66</v>
      </c>
      <c r="L1557" s="382" t="s">
        <v>21</v>
      </c>
      <c r="M1557" s="30"/>
      <c r="N1557" s="30">
        <v>47.66</v>
      </c>
      <c r="O1557" s="287">
        <f t="shared" si="389"/>
        <v>0</v>
      </c>
      <c r="P1557" s="287">
        <f t="shared" si="390"/>
        <v>0</v>
      </c>
      <c r="Q1557" s="288"/>
      <c r="R1557" s="243"/>
      <c r="S1557" s="378" t="str">
        <f t="shared" si="391"/>
        <v/>
      </c>
      <c r="U1557" s="722"/>
    </row>
    <row r="1558" spans="2:21" hidden="1" x14ac:dyDescent="0.2">
      <c r="B1558" s="595">
        <v>98593</v>
      </c>
      <c r="C1558" s="596" t="s">
        <v>817</v>
      </c>
      <c r="D1558" s="597" t="s">
        <v>1647</v>
      </c>
      <c r="E1558" s="589"/>
      <c r="F1558" s="590"/>
      <c r="G1558" s="591"/>
      <c r="H1558" s="592"/>
      <c r="I1558" s="631">
        <v>1101.78</v>
      </c>
      <c r="J1558" s="631">
        <f t="shared" si="392"/>
        <v>1101.78</v>
      </c>
      <c r="K1558" s="593">
        <f t="shared" si="388"/>
        <v>1396.51</v>
      </c>
      <c r="L1558" s="382" t="s">
        <v>21</v>
      </c>
      <c r="M1558" s="30"/>
      <c r="N1558" s="30">
        <v>1396.51</v>
      </c>
      <c r="O1558" s="287">
        <f t="shared" si="389"/>
        <v>0</v>
      </c>
      <c r="P1558" s="287">
        <f t="shared" si="390"/>
        <v>0</v>
      </c>
      <c r="Q1558" s="288"/>
      <c r="R1558" s="243"/>
      <c r="S1558" s="378" t="str">
        <f t="shared" si="391"/>
        <v/>
      </c>
      <c r="U1558" s="722"/>
    </row>
    <row r="1559" spans="2:21" ht="25.5" hidden="1" x14ac:dyDescent="0.2">
      <c r="B1559" s="595">
        <v>98400</v>
      </c>
      <c r="C1559" s="596" t="s">
        <v>817</v>
      </c>
      <c r="D1559" s="597" t="s">
        <v>1648</v>
      </c>
      <c r="E1559" s="589"/>
      <c r="F1559" s="590"/>
      <c r="G1559" s="591"/>
      <c r="H1559" s="592"/>
      <c r="I1559" s="631">
        <v>14.45</v>
      </c>
      <c r="J1559" s="631">
        <f t="shared" si="392"/>
        <v>14.45</v>
      </c>
      <c r="K1559" s="593">
        <f t="shared" si="388"/>
        <v>18.32</v>
      </c>
      <c r="L1559" s="382" t="s">
        <v>19</v>
      </c>
      <c r="M1559" s="30"/>
      <c r="N1559" s="30">
        <v>18.32</v>
      </c>
      <c r="O1559" s="287">
        <f t="shared" si="389"/>
        <v>0</v>
      </c>
      <c r="P1559" s="287">
        <f t="shared" si="390"/>
        <v>0</v>
      </c>
      <c r="Q1559" s="288"/>
      <c r="R1559" s="243"/>
      <c r="S1559" s="378" t="str">
        <f t="shared" si="391"/>
        <v/>
      </c>
      <c r="U1559" s="722"/>
    </row>
    <row r="1560" spans="2:21" ht="25.5" hidden="1" x14ac:dyDescent="0.2">
      <c r="B1560" s="595">
        <v>98401</v>
      </c>
      <c r="C1560" s="596" t="s">
        <v>817</v>
      </c>
      <c r="D1560" s="597" t="s">
        <v>1649</v>
      </c>
      <c r="E1560" s="589"/>
      <c r="F1560" s="590"/>
      <c r="G1560" s="591"/>
      <c r="H1560" s="592"/>
      <c r="I1560" s="631">
        <v>22.32</v>
      </c>
      <c r="J1560" s="631">
        <f t="shared" si="392"/>
        <v>22.32</v>
      </c>
      <c r="K1560" s="593">
        <f t="shared" si="388"/>
        <v>28.29</v>
      </c>
      <c r="L1560" s="382" t="s">
        <v>19</v>
      </c>
      <c r="M1560" s="30"/>
      <c r="N1560" s="30">
        <v>28.29</v>
      </c>
      <c r="O1560" s="287">
        <f t="shared" si="389"/>
        <v>0</v>
      </c>
      <c r="P1560" s="287">
        <f t="shared" si="390"/>
        <v>0</v>
      </c>
      <c r="Q1560" s="288"/>
      <c r="R1560" s="243"/>
      <c r="S1560" s="378" t="str">
        <f t="shared" si="391"/>
        <v/>
      </c>
      <c r="U1560" s="722"/>
    </row>
    <row r="1561" spans="2:21" ht="25.5" hidden="1" x14ac:dyDescent="0.2">
      <c r="B1561" s="595">
        <v>98402</v>
      </c>
      <c r="C1561" s="596" t="s">
        <v>817</v>
      </c>
      <c r="D1561" s="597" t="s">
        <v>1650</v>
      </c>
      <c r="E1561" s="589"/>
      <c r="F1561" s="590"/>
      <c r="G1561" s="591"/>
      <c r="H1561" s="592"/>
      <c r="I1561" s="631">
        <v>28.92</v>
      </c>
      <c r="J1561" s="631">
        <f t="shared" si="392"/>
        <v>28.92</v>
      </c>
      <c r="K1561" s="593">
        <f t="shared" si="388"/>
        <v>36.659999999999997</v>
      </c>
      <c r="L1561" s="382" t="s">
        <v>19</v>
      </c>
      <c r="M1561" s="30"/>
      <c r="N1561" s="30">
        <v>36.659999999999997</v>
      </c>
      <c r="O1561" s="287">
        <f t="shared" si="389"/>
        <v>0</v>
      </c>
      <c r="P1561" s="287">
        <f t="shared" si="390"/>
        <v>0</v>
      </c>
      <c r="Q1561" s="288"/>
      <c r="R1561" s="243"/>
      <c r="S1561" s="378" t="str">
        <f t="shared" si="391"/>
        <v/>
      </c>
      <c r="U1561" s="722"/>
    </row>
    <row r="1562" spans="2:21" ht="25.5" hidden="1" x14ac:dyDescent="0.2">
      <c r="B1562" s="595">
        <v>98267</v>
      </c>
      <c r="C1562" s="596" t="s">
        <v>817</v>
      </c>
      <c r="D1562" s="597" t="s">
        <v>1651</v>
      </c>
      <c r="E1562" s="589"/>
      <c r="F1562" s="590"/>
      <c r="G1562" s="591"/>
      <c r="H1562" s="592"/>
      <c r="I1562" s="631">
        <v>12.19</v>
      </c>
      <c r="J1562" s="631">
        <f t="shared" si="392"/>
        <v>12.19</v>
      </c>
      <c r="K1562" s="593">
        <f t="shared" si="388"/>
        <v>15.45</v>
      </c>
      <c r="L1562" s="382" t="s">
        <v>19</v>
      </c>
      <c r="M1562" s="30"/>
      <c r="N1562" s="30">
        <v>15.45</v>
      </c>
      <c r="O1562" s="287">
        <f t="shared" si="389"/>
        <v>0</v>
      </c>
      <c r="P1562" s="287">
        <f t="shared" si="390"/>
        <v>0</v>
      </c>
      <c r="Q1562" s="288"/>
      <c r="R1562" s="243"/>
      <c r="S1562" s="378" t="str">
        <f t="shared" si="391"/>
        <v/>
      </c>
      <c r="U1562" s="722"/>
    </row>
    <row r="1563" spans="2:21" ht="25.5" hidden="1" x14ac:dyDescent="0.2">
      <c r="B1563" s="595">
        <v>98268</v>
      </c>
      <c r="C1563" s="596" t="s">
        <v>817</v>
      </c>
      <c r="D1563" s="597" t="s">
        <v>1652</v>
      </c>
      <c r="E1563" s="589"/>
      <c r="F1563" s="590"/>
      <c r="G1563" s="591"/>
      <c r="H1563" s="592"/>
      <c r="I1563" s="631">
        <v>19.89</v>
      </c>
      <c r="J1563" s="631">
        <f t="shared" si="392"/>
        <v>19.89</v>
      </c>
      <c r="K1563" s="593">
        <f t="shared" si="388"/>
        <v>25.21</v>
      </c>
      <c r="L1563" s="382" t="s">
        <v>19</v>
      </c>
      <c r="M1563" s="30"/>
      <c r="N1563" s="30">
        <v>25.21</v>
      </c>
      <c r="O1563" s="287">
        <f t="shared" si="389"/>
        <v>0</v>
      </c>
      <c r="P1563" s="287">
        <f t="shared" si="390"/>
        <v>0</v>
      </c>
      <c r="Q1563" s="288"/>
      <c r="R1563" s="243"/>
      <c r="S1563" s="378" t="str">
        <f t="shared" si="391"/>
        <v/>
      </c>
      <c r="U1563" s="722"/>
    </row>
    <row r="1564" spans="2:21" ht="25.5" hidden="1" x14ac:dyDescent="0.2">
      <c r="B1564" s="595">
        <v>98269</v>
      </c>
      <c r="C1564" s="596" t="s">
        <v>817</v>
      </c>
      <c r="D1564" s="597" t="s">
        <v>1653</v>
      </c>
      <c r="E1564" s="589"/>
      <c r="F1564" s="590"/>
      <c r="G1564" s="591"/>
      <c r="H1564" s="592"/>
      <c r="I1564" s="631">
        <v>25.69</v>
      </c>
      <c r="J1564" s="631">
        <f t="shared" si="392"/>
        <v>25.69</v>
      </c>
      <c r="K1564" s="593">
        <f t="shared" si="388"/>
        <v>32.56</v>
      </c>
      <c r="L1564" s="382" t="s">
        <v>19</v>
      </c>
      <c r="M1564" s="30"/>
      <c r="N1564" s="30">
        <v>32.56</v>
      </c>
      <c r="O1564" s="287">
        <f t="shared" si="389"/>
        <v>0</v>
      </c>
      <c r="P1564" s="287">
        <f t="shared" si="390"/>
        <v>0</v>
      </c>
      <c r="Q1564" s="288"/>
      <c r="R1564" s="243"/>
      <c r="S1564" s="378" t="str">
        <f t="shared" si="391"/>
        <v/>
      </c>
      <c r="U1564" s="722"/>
    </row>
    <row r="1565" spans="2:21" ht="25.5" hidden="1" x14ac:dyDescent="0.2">
      <c r="B1565" s="595">
        <v>98270</v>
      </c>
      <c r="C1565" s="596" t="s">
        <v>817</v>
      </c>
      <c r="D1565" s="597" t="s">
        <v>1654</v>
      </c>
      <c r="E1565" s="589"/>
      <c r="F1565" s="590"/>
      <c r="G1565" s="591"/>
      <c r="H1565" s="592"/>
      <c r="I1565" s="631">
        <v>41.76</v>
      </c>
      <c r="J1565" s="631">
        <f t="shared" si="392"/>
        <v>41.76</v>
      </c>
      <c r="K1565" s="593">
        <f t="shared" si="388"/>
        <v>52.93</v>
      </c>
      <c r="L1565" s="382" t="s">
        <v>19</v>
      </c>
      <c r="M1565" s="30"/>
      <c r="N1565" s="30">
        <v>52.93</v>
      </c>
      <c r="O1565" s="287">
        <f t="shared" si="389"/>
        <v>0</v>
      </c>
      <c r="P1565" s="287">
        <f t="shared" si="390"/>
        <v>0</v>
      </c>
      <c r="Q1565" s="288"/>
      <c r="R1565" s="243"/>
      <c r="S1565" s="378" t="str">
        <f t="shared" si="391"/>
        <v/>
      </c>
      <c r="U1565" s="722"/>
    </row>
    <row r="1566" spans="2:21" ht="25.5" hidden="1" x14ac:dyDescent="0.2">
      <c r="B1566" s="595">
        <v>98271</v>
      </c>
      <c r="C1566" s="596" t="s">
        <v>817</v>
      </c>
      <c r="D1566" s="597" t="s">
        <v>1655</v>
      </c>
      <c r="E1566" s="589"/>
      <c r="F1566" s="590"/>
      <c r="G1566" s="591"/>
      <c r="H1566" s="592"/>
      <c r="I1566" s="631">
        <v>64.760000000000005</v>
      </c>
      <c r="J1566" s="631">
        <f t="shared" si="392"/>
        <v>64.760000000000005</v>
      </c>
      <c r="K1566" s="593">
        <f t="shared" si="388"/>
        <v>82.08</v>
      </c>
      <c r="L1566" s="382" t="s">
        <v>19</v>
      </c>
      <c r="M1566" s="30"/>
      <c r="N1566" s="30">
        <v>82.08</v>
      </c>
      <c r="O1566" s="287">
        <f t="shared" si="389"/>
        <v>0</v>
      </c>
      <c r="P1566" s="287">
        <f t="shared" si="390"/>
        <v>0</v>
      </c>
      <c r="Q1566" s="288"/>
      <c r="R1566" s="243"/>
      <c r="S1566" s="378" t="str">
        <f t="shared" si="391"/>
        <v/>
      </c>
      <c r="U1566" s="722"/>
    </row>
    <row r="1567" spans="2:21" ht="25.5" hidden="1" x14ac:dyDescent="0.2">
      <c r="B1567" s="595">
        <v>98272</v>
      </c>
      <c r="C1567" s="596" t="s">
        <v>817</v>
      </c>
      <c r="D1567" s="597" t="s">
        <v>1656</v>
      </c>
      <c r="E1567" s="589"/>
      <c r="F1567" s="590"/>
      <c r="G1567" s="591"/>
      <c r="H1567" s="592"/>
      <c r="I1567" s="631">
        <v>151.82</v>
      </c>
      <c r="J1567" s="631">
        <f t="shared" si="392"/>
        <v>151.82</v>
      </c>
      <c r="K1567" s="593">
        <f t="shared" si="388"/>
        <v>192.43</v>
      </c>
      <c r="L1567" s="382" t="s">
        <v>19</v>
      </c>
      <c r="M1567" s="30"/>
      <c r="N1567" s="30">
        <v>192.43</v>
      </c>
      <c r="O1567" s="287">
        <f t="shared" si="389"/>
        <v>0</v>
      </c>
      <c r="P1567" s="287">
        <f t="shared" si="390"/>
        <v>0</v>
      </c>
      <c r="Q1567" s="288"/>
      <c r="R1567" s="243"/>
      <c r="S1567" s="378" t="str">
        <f t="shared" si="391"/>
        <v/>
      </c>
      <c r="U1567" s="722"/>
    </row>
    <row r="1568" spans="2:21" ht="25.5" hidden="1" x14ac:dyDescent="0.2">
      <c r="B1568" s="595">
        <v>98276</v>
      </c>
      <c r="C1568" s="596" t="s">
        <v>817</v>
      </c>
      <c r="D1568" s="597" t="s">
        <v>1657</v>
      </c>
      <c r="E1568" s="589"/>
      <c r="F1568" s="590"/>
      <c r="G1568" s="591"/>
      <c r="H1568" s="592"/>
      <c r="I1568" s="631">
        <v>9.1199999999999992</v>
      </c>
      <c r="J1568" s="631">
        <f t="shared" si="392"/>
        <v>9.1199999999999992</v>
      </c>
      <c r="K1568" s="593">
        <f t="shared" si="388"/>
        <v>11.56</v>
      </c>
      <c r="L1568" s="382" t="s">
        <v>19</v>
      </c>
      <c r="M1568" s="30"/>
      <c r="N1568" s="30">
        <v>11.56</v>
      </c>
      <c r="O1568" s="287">
        <f t="shared" si="389"/>
        <v>0</v>
      </c>
      <c r="P1568" s="287">
        <f t="shared" si="390"/>
        <v>0</v>
      </c>
      <c r="Q1568" s="288"/>
      <c r="R1568" s="243"/>
      <c r="S1568" s="378" t="str">
        <f t="shared" si="391"/>
        <v/>
      </c>
      <c r="U1568" s="722"/>
    </row>
    <row r="1569" spans="2:21" ht="25.5" hidden="1" x14ac:dyDescent="0.2">
      <c r="B1569" s="595">
        <v>98277</v>
      </c>
      <c r="C1569" s="596" t="s">
        <v>817</v>
      </c>
      <c r="D1569" s="597" t="s">
        <v>1658</v>
      </c>
      <c r="E1569" s="589"/>
      <c r="F1569" s="590"/>
      <c r="G1569" s="591"/>
      <c r="H1569" s="592"/>
      <c r="I1569" s="631">
        <v>16.829999999999998</v>
      </c>
      <c r="J1569" s="631">
        <f t="shared" si="392"/>
        <v>16.829999999999998</v>
      </c>
      <c r="K1569" s="593">
        <f t="shared" si="388"/>
        <v>21.33</v>
      </c>
      <c r="L1569" s="382" t="s">
        <v>19</v>
      </c>
      <c r="M1569" s="30"/>
      <c r="N1569" s="30">
        <v>21.33</v>
      </c>
      <c r="O1569" s="287">
        <f t="shared" si="389"/>
        <v>0</v>
      </c>
      <c r="P1569" s="287">
        <f t="shared" si="390"/>
        <v>0</v>
      </c>
      <c r="Q1569" s="288"/>
      <c r="R1569" s="243"/>
      <c r="S1569" s="378" t="str">
        <f t="shared" si="391"/>
        <v/>
      </c>
      <c r="U1569" s="722"/>
    </row>
    <row r="1570" spans="2:21" ht="25.5" hidden="1" x14ac:dyDescent="0.2">
      <c r="B1570" s="595">
        <v>98278</v>
      </c>
      <c r="C1570" s="596" t="s">
        <v>817</v>
      </c>
      <c r="D1570" s="597" t="s">
        <v>1659</v>
      </c>
      <c r="E1570" s="589"/>
      <c r="F1570" s="590"/>
      <c r="G1570" s="591"/>
      <c r="H1570" s="592"/>
      <c r="I1570" s="631">
        <v>22.63</v>
      </c>
      <c r="J1570" s="631">
        <f t="shared" si="392"/>
        <v>22.63</v>
      </c>
      <c r="K1570" s="593">
        <f t="shared" si="388"/>
        <v>28.68</v>
      </c>
      <c r="L1570" s="382" t="s">
        <v>19</v>
      </c>
      <c r="M1570" s="30"/>
      <c r="N1570" s="30">
        <v>28.68</v>
      </c>
      <c r="O1570" s="287">
        <f t="shared" si="389"/>
        <v>0</v>
      </c>
      <c r="P1570" s="287">
        <f t="shared" si="390"/>
        <v>0</v>
      </c>
      <c r="Q1570" s="288"/>
      <c r="R1570" s="243"/>
      <c r="S1570" s="378" t="str">
        <f t="shared" si="391"/>
        <v/>
      </c>
      <c r="U1570" s="722"/>
    </row>
    <row r="1571" spans="2:21" ht="25.5" hidden="1" x14ac:dyDescent="0.2">
      <c r="B1571" s="595">
        <v>98279</v>
      </c>
      <c r="C1571" s="596" t="s">
        <v>817</v>
      </c>
      <c r="D1571" s="597" t="s">
        <v>1660</v>
      </c>
      <c r="E1571" s="589"/>
      <c r="F1571" s="590"/>
      <c r="G1571" s="591"/>
      <c r="H1571" s="592"/>
      <c r="I1571" s="631">
        <v>38.69</v>
      </c>
      <c r="J1571" s="631">
        <f t="shared" si="392"/>
        <v>38.69</v>
      </c>
      <c r="K1571" s="593">
        <f t="shared" si="388"/>
        <v>49.04</v>
      </c>
      <c r="L1571" s="382" t="s">
        <v>19</v>
      </c>
      <c r="M1571" s="30"/>
      <c r="N1571" s="30">
        <v>49.04</v>
      </c>
      <c r="O1571" s="287">
        <f t="shared" si="389"/>
        <v>0</v>
      </c>
      <c r="P1571" s="287">
        <f t="shared" si="390"/>
        <v>0</v>
      </c>
      <c r="Q1571" s="288"/>
      <c r="R1571" s="243"/>
      <c r="S1571" s="378" t="str">
        <f t="shared" si="391"/>
        <v/>
      </c>
      <c r="U1571" s="722"/>
    </row>
    <row r="1572" spans="2:21" ht="25.5" hidden="1" x14ac:dyDescent="0.2">
      <c r="B1572" s="595">
        <v>98286</v>
      </c>
      <c r="C1572" s="596" t="s">
        <v>817</v>
      </c>
      <c r="D1572" s="597" t="s">
        <v>1661</v>
      </c>
      <c r="E1572" s="589"/>
      <c r="F1572" s="590"/>
      <c r="G1572" s="591"/>
      <c r="H1572" s="592"/>
      <c r="I1572" s="631">
        <v>16.13</v>
      </c>
      <c r="J1572" s="631">
        <f t="shared" si="392"/>
        <v>16.13</v>
      </c>
      <c r="K1572" s="593">
        <f t="shared" si="388"/>
        <v>20.440000000000001</v>
      </c>
      <c r="L1572" s="382" t="s">
        <v>19</v>
      </c>
      <c r="M1572" s="30"/>
      <c r="N1572" s="30">
        <v>20.440000000000001</v>
      </c>
      <c r="O1572" s="287">
        <f t="shared" si="389"/>
        <v>0</v>
      </c>
      <c r="P1572" s="287">
        <f t="shared" si="390"/>
        <v>0</v>
      </c>
      <c r="Q1572" s="288"/>
      <c r="R1572" s="243"/>
      <c r="S1572" s="378" t="str">
        <f t="shared" si="391"/>
        <v/>
      </c>
      <c r="U1572" s="722"/>
    </row>
    <row r="1573" spans="2:21" ht="25.5" hidden="1" x14ac:dyDescent="0.2">
      <c r="B1573" s="595">
        <v>98293</v>
      </c>
      <c r="C1573" s="596" t="s">
        <v>817</v>
      </c>
      <c r="D1573" s="597" t="s">
        <v>1662</v>
      </c>
      <c r="E1573" s="589"/>
      <c r="F1573" s="590"/>
      <c r="G1573" s="591"/>
      <c r="H1573" s="592"/>
      <c r="I1573" s="631">
        <v>9.83</v>
      </c>
      <c r="J1573" s="631">
        <f t="shared" si="392"/>
        <v>9.83</v>
      </c>
      <c r="K1573" s="593">
        <f t="shared" si="388"/>
        <v>12.46</v>
      </c>
      <c r="L1573" s="382" t="s">
        <v>19</v>
      </c>
      <c r="M1573" s="30"/>
      <c r="N1573" s="30">
        <v>12.46</v>
      </c>
      <c r="O1573" s="287">
        <f t="shared" si="389"/>
        <v>0</v>
      </c>
      <c r="P1573" s="287">
        <f t="shared" si="390"/>
        <v>0</v>
      </c>
      <c r="Q1573" s="288"/>
      <c r="R1573" s="243"/>
      <c r="S1573" s="378" t="str">
        <f t="shared" si="391"/>
        <v/>
      </c>
      <c r="U1573" s="722"/>
    </row>
    <row r="1574" spans="2:21" ht="25.5" hidden="1" x14ac:dyDescent="0.2">
      <c r="B1574" s="595">
        <v>98261</v>
      </c>
      <c r="C1574" s="596" t="s">
        <v>817</v>
      </c>
      <c r="D1574" s="597" t="s">
        <v>1663</v>
      </c>
      <c r="E1574" s="589"/>
      <c r="F1574" s="590"/>
      <c r="G1574" s="591"/>
      <c r="H1574" s="592"/>
      <c r="I1574" s="631">
        <v>3.82</v>
      </c>
      <c r="J1574" s="631">
        <f t="shared" si="392"/>
        <v>3.82</v>
      </c>
      <c r="K1574" s="593">
        <f t="shared" si="388"/>
        <v>4.84</v>
      </c>
      <c r="L1574" s="382" t="s">
        <v>19</v>
      </c>
      <c r="M1574" s="30"/>
      <c r="N1574" s="30">
        <v>4.84</v>
      </c>
      <c r="O1574" s="287">
        <f t="shared" si="389"/>
        <v>0</v>
      </c>
      <c r="P1574" s="287">
        <f t="shared" si="390"/>
        <v>0</v>
      </c>
      <c r="Q1574" s="288"/>
      <c r="R1574" s="243"/>
      <c r="S1574" s="378" t="str">
        <f t="shared" si="391"/>
        <v/>
      </c>
      <c r="U1574" s="722"/>
    </row>
    <row r="1575" spans="2:21" ht="25.5" hidden="1" x14ac:dyDescent="0.2">
      <c r="B1575" s="595">
        <v>98262</v>
      </c>
      <c r="C1575" s="596" t="s">
        <v>817</v>
      </c>
      <c r="D1575" s="597" t="s">
        <v>1664</v>
      </c>
      <c r="E1575" s="589"/>
      <c r="F1575" s="590"/>
      <c r="G1575" s="591"/>
      <c r="H1575" s="592"/>
      <c r="I1575" s="631">
        <v>4.5</v>
      </c>
      <c r="J1575" s="631">
        <f t="shared" si="392"/>
        <v>4.5</v>
      </c>
      <c r="K1575" s="593">
        <f t="shared" si="388"/>
        <v>5.7</v>
      </c>
      <c r="L1575" s="382" t="s">
        <v>19</v>
      </c>
      <c r="M1575" s="30"/>
      <c r="N1575" s="30">
        <v>5.7</v>
      </c>
      <c r="O1575" s="287">
        <f t="shared" si="389"/>
        <v>0</v>
      </c>
      <c r="P1575" s="287">
        <f t="shared" si="390"/>
        <v>0</v>
      </c>
      <c r="Q1575" s="288"/>
      <c r="R1575" s="243"/>
      <c r="S1575" s="378" t="str">
        <f t="shared" si="391"/>
        <v/>
      </c>
      <c r="U1575" s="722"/>
    </row>
    <row r="1576" spans="2:21" ht="25.5" hidden="1" x14ac:dyDescent="0.2">
      <c r="B1576" s="595">
        <v>98263</v>
      </c>
      <c r="C1576" s="596" t="s">
        <v>817</v>
      </c>
      <c r="D1576" s="597" t="s">
        <v>1665</v>
      </c>
      <c r="E1576" s="589"/>
      <c r="F1576" s="590"/>
      <c r="G1576" s="591"/>
      <c r="H1576" s="592"/>
      <c r="I1576" s="631">
        <v>5.33</v>
      </c>
      <c r="J1576" s="631">
        <f t="shared" si="392"/>
        <v>5.33</v>
      </c>
      <c r="K1576" s="593">
        <f t="shared" si="388"/>
        <v>6.76</v>
      </c>
      <c r="L1576" s="382" t="s">
        <v>19</v>
      </c>
      <c r="M1576" s="30"/>
      <c r="N1576" s="30">
        <v>6.76</v>
      </c>
      <c r="O1576" s="287">
        <f t="shared" si="389"/>
        <v>0</v>
      </c>
      <c r="P1576" s="287">
        <f t="shared" si="390"/>
        <v>0</v>
      </c>
      <c r="Q1576" s="288"/>
      <c r="R1576" s="243"/>
      <c r="S1576" s="378" t="str">
        <f t="shared" si="391"/>
        <v/>
      </c>
      <c r="U1576" s="722"/>
    </row>
    <row r="1577" spans="2:21" ht="25.5" hidden="1" x14ac:dyDescent="0.2">
      <c r="B1577" s="595">
        <v>98264</v>
      </c>
      <c r="C1577" s="596" t="s">
        <v>817</v>
      </c>
      <c r="D1577" s="597" t="s">
        <v>1666</v>
      </c>
      <c r="E1577" s="589"/>
      <c r="F1577" s="590"/>
      <c r="G1577" s="591"/>
      <c r="H1577" s="592"/>
      <c r="I1577" s="631">
        <v>5.94</v>
      </c>
      <c r="J1577" s="631">
        <f t="shared" si="392"/>
        <v>5.94</v>
      </c>
      <c r="K1577" s="593">
        <f t="shared" si="388"/>
        <v>7.53</v>
      </c>
      <c r="L1577" s="382" t="s">
        <v>19</v>
      </c>
      <c r="M1577" s="30"/>
      <c r="N1577" s="30">
        <v>7.53</v>
      </c>
      <c r="O1577" s="287">
        <f t="shared" si="389"/>
        <v>0</v>
      </c>
      <c r="P1577" s="287">
        <f t="shared" si="390"/>
        <v>0</v>
      </c>
      <c r="Q1577" s="288"/>
      <c r="R1577" s="243"/>
      <c r="S1577" s="378" t="str">
        <f t="shared" si="391"/>
        <v/>
      </c>
      <c r="U1577" s="722"/>
    </row>
    <row r="1578" spans="2:21" ht="25.5" hidden="1" x14ac:dyDescent="0.2">
      <c r="B1578" s="595">
        <v>98265</v>
      </c>
      <c r="C1578" s="596" t="s">
        <v>817</v>
      </c>
      <c r="D1578" s="597" t="s">
        <v>1667</v>
      </c>
      <c r="E1578" s="589"/>
      <c r="F1578" s="590"/>
      <c r="G1578" s="591"/>
      <c r="H1578" s="592"/>
      <c r="I1578" s="631">
        <v>6.89</v>
      </c>
      <c r="J1578" s="631">
        <f t="shared" si="392"/>
        <v>6.89</v>
      </c>
      <c r="K1578" s="593">
        <f t="shared" si="388"/>
        <v>8.73</v>
      </c>
      <c r="L1578" s="382" t="s">
        <v>19</v>
      </c>
      <c r="M1578" s="30"/>
      <c r="N1578" s="30">
        <v>8.73</v>
      </c>
      <c r="O1578" s="287">
        <f t="shared" si="389"/>
        <v>0</v>
      </c>
      <c r="P1578" s="287">
        <f t="shared" si="390"/>
        <v>0</v>
      </c>
      <c r="Q1578" s="288"/>
      <c r="R1578" s="243"/>
      <c r="S1578" s="378" t="str">
        <f t="shared" si="391"/>
        <v/>
      </c>
      <c r="U1578" s="722"/>
    </row>
    <row r="1579" spans="2:21" ht="25.5" hidden="1" x14ac:dyDescent="0.2">
      <c r="B1579" s="595">
        <v>98266</v>
      </c>
      <c r="C1579" s="596" t="s">
        <v>817</v>
      </c>
      <c r="D1579" s="597" t="s">
        <v>1668</v>
      </c>
      <c r="E1579" s="589"/>
      <c r="F1579" s="590"/>
      <c r="G1579" s="591"/>
      <c r="H1579" s="592"/>
      <c r="I1579" s="631">
        <v>7.44</v>
      </c>
      <c r="J1579" s="631">
        <f t="shared" si="392"/>
        <v>7.44</v>
      </c>
      <c r="K1579" s="593">
        <f t="shared" si="388"/>
        <v>9.43</v>
      </c>
      <c r="L1579" s="382" t="s">
        <v>19</v>
      </c>
      <c r="M1579" s="30"/>
      <c r="N1579" s="30">
        <v>9.43</v>
      </c>
      <c r="O1579" s="287">
        <f t="shared" si="389"/>
        <v>0</v>
      </c>
      <c r="P1579" s="287">
        <f t="shared" si="390"/>
        <v>0</v>
      </c>
      <c r="Q1579" s="288"/>
      <c r="R1579" s="243"/>
      <c r="S1579" s="378" t="str">
        <f t="shared" si="391"/>
        <v/>
      </c>
      <c r="U1579" s="722"/>
    </row>
    <row r="1580" spans="2:21" ht="25.5" hidden="1" x14ac:dyDescent="0.2">
      <c r="B1580" s="595">
        <v>98273</v>
      </c>
      <c r="C1580" s="596" t="s">
        <v>817</v>
      </c>
      <c r="D1580" s="597" t="s">
        <v>1669</v>
      </c>
      <c r="E1580" s="589"/>
      <c r="F1580" s="590"/>
      <c r="G1580" s="591"/>
      <c r="H1580" s="592"/>
      <c r="I1580" s="631">
        <v>2.89</v>
      </c>
      <c r="J1580" s="631">
        <f t="shared" si="392"/>
        <v>2.89</v>
      </c>
      <c r="K1580" s="593">
        <f t="shared" si="388"/>
        <v>3.66</v>
      </c>
      <c r="L1580" s="382" t="s">
        <v>19</v>
      </c>
      <c r="M1580" s="30"/>
      <c r="N1580" s="30">
        <v>3.66</v>
      </c>
      <c r="O1580" s="287">
        <f t="shared" si="389"/>
        <v>0</v>
      </c>
      <c r="P1580" s="287">
        <f t="shared" si="390"/>
        <v>0</v>
      </c>
      <c r="Q1580" s="288"/>
      <c r="R1580" s="243"/>
      <c r="S1580" s="378" t="str">
        <f t="shared" si="391"/>
        <v/>
      </c>
      <c r="U1580" s="722"/>
    </row>
    <row r="1581" spans="2:21" ht="25.5" hidden="1" x14ac:dyDescent="0.2">
      <c r="B1581" s="595">
        <v>98274</v>
      </c>
      <c r="C1581" s="596" t="s">
        <v>817</v>
      </c>
      <c r="D1581" s="597" t="s">
        <v>1670</v>
      </c>
      <c r="E1581" s="589"/>
      <c r="F1581" s="590"/>
      <c r="G1581" s="591"/>
      <c r="H1581" s="592"/>
      <c r="I1581" s="631">
        <v>3.83</v>
      </c>
      <c r="J1581" s="631">
        <f t="shared" si="392"/>
        <v>3.83</v>
      </c>
      <c r="K1581" s="593">
        <f t="shared" si="388"/>
        <v>4.8499999999999996</v>
      </c>
      <c r="L1581" s="382" t="s">
        <v>19</v>
      </c>
      <c r="M1581" s="30"/>
      <c r="N1581" s="30">
        <v>4.8499999999999996</v>
      </c>
      <c r="O1581" s="287">
        <f t="shared" si="389"/>
        <v>0</v>
      </c>
      <c r="P1581" s="287">
        <f t="shared" si="390"/>
        <v>0</v>
      </c>
      <c r="Q1581" s="288"/>
      <c r="R1581" s="243"/>
      <c r="S1581" s="378" t="str">
        <f t="shared" si="391"/>
        <v/>
      </c>
      <c r="U1581" s="722"/>
    </row>
    <row r="1582" spans="2:21" ht="25.5" hidden="1" x14ac:dyDescent="0.2">
      <c r="B1582" s="595">
        <v>98275</v>
      </c>
      <c r="C1582" s="596" t="s">
        <v>817</v>
      </c>
      <c r="D1582" s="597" t="s">
        <v>1671</v>
      </c>
      <c r="E1582" s="589"/>
      <c r="F1582" s="590"/>
      <c r="G1582" s="591"/>
      <c r="H1582" s="592"/>
      <c r="I1582" s="631">
        <v>4.37</v>
      </c>
      <c r="J1582" s="631">
        <f t="shared" si="392"/>
        <v>4.37</v>
      </c>
      <c r="K1582" s="593">
        <f t="shared" si="388"/>
        <v>5.54</v>
      </c>
      <c r="L1582" s="382" t="s">
        <v>19</v>
      </c>
      <c r="M1582" s="30"/>
      <c r="N1582" s="30">
        <v>5.54</v>
      </c>
      <c r="O1582" s="287">
        <f t="shared" si="389"/>
        <v>0</v>
      </c>
      <c r="P1582" s="287">
        <f t="shared" si="390"/>
        <v>0</v>
      </c>
      <c r="Q1582" s="288"/>
      <c r="R1582" s="243"/>
      <c r="S1582" s="378" t="str">
        <f t="shared" si="391"/>
        <v/>
      </c>
      <c r="U1582" s="722"/>
    </row>
    <row r="1583" spans="2:21" ht="25.5" hidden="1" x14ac:dyDescent="0.2">
      <c r="B1583" s="595">
        <v>98280</v>
      </c>
      <c r="C1583" s="596" t="s">
        <v>817</v>
      </c>
      <c r="D1583" s="597" t="s">
        <v>1672</v>
      </c>
      <c r="E1583" s="589"/>
      <c r="F1583" s="590"/>
      <c r="G1583" s="591"/>
      <c r="H1583" s="592"/>
      <c r="I1583" s="631">
        <v>7.77</v>
      </c>
      <c r="J1583" s="631">
        <f t="shared" si="392"/>
        <v>7.77</v>
      </c>
      <c r="K1583" s="593">
        <f t="shared" ref="K1583:K1604" si="393">IF(ISBLANK(I1583),0,ROUND(J1583*(1+$F$10)*(1+$F$11*E1583),2))</f>
        <v>9.85</v>
      </c>
      <c r="L1583" s="382" t="s">
        <v>19</v>
      </c>
      <c r="M1583" s="30"/>
      <c r="N1583" s="30">
        <v>9.85</v>
      </c>
      <c r="O1583" s="287">
        <f t="shared" ref="O1583:O1604" si="394">IF(ISBLANK(M1583),0,ROUND(K1583*M1583,2))</f>
        <v>0</v>
      </c>
      <c r="P1583" s="287">
        <f t="shared" ref="P1583:P1604" si="395">IF(ISBLANK(N1583),0,ROUND(M1583*N1583,2))</f>
        <v>0</v>
      </c>
      <c r="Q1583" s="288"/>
      <c r="R1583" s="243"/>
      <c r="S1583" s="378" t="str">
        <f t="shared" si="391"/>
        <v/>
      </c>
      <c r="U1583" s="722"/>
    </row>
    <row r="1584" spans="2:21" ht="25.5" hidden="1" x14ac:dyDescent="0.2">
      <c r="B1584" s="595">
        <v>98281</v>
      </c>
      <c r="C1584" s="596" t="s">
        <v>817</v>
      </c>
      <c r="D1584" s="597" t="s">
        <v>1673</v>
      </c>
      <c r="E1584" s="589"/>
      <c r="F1584" s="590"/>
      <c r="G1584" s="591"/>
      <c r="H1584" s="592"/>
      <c r="I1584" s="631">
        <v>8.4499999999999993</v>
      </c>
      <c r="J1584" s="631">
        <f t="shared" si="392"/>
        <v>8.4499999999999993</v>
      </c>
      <c r="K1584" s="593">
        <f t="shared" si="393"/>
        <v>10.71</v>
      </c>
      <c r="L1584" s="382" t="s">
        <v>19</v>
      </c>
      <c r="M1584" s="30"/>
      <c r="N1584" s="30">
        <v>10.71</v>
      </c>
      <c r="O1584" s="287">
        <f t="shared" si="394"/>
        <v>0</v>
      </c>
      <c r="P1584" s="287">
        <f t="shared" si="395"/>
        <v>0</v>
      </c>
      <c r="Q1584" s="288"/>
      <c r="R1584" s="243"/>
      <c r="S1584" s="378" t="str">
        <f t="shared" si="391"/>
        <v/>
      </c>
      <c r="U1584" s="722"/>
    </row>
    <row r="1585" spans="2:21" ht="25.5" hidden="1" x14ac:dyDescent="0.2">
      <c r="B1585" s="595">
        <v>98282</v>
      </c>
      <c r="C1585" s="596" t="s">
        <v>817</v>
      </c>
      <c r="D1585" s="597" t="s">
        <v>1674</v>
      </c>
      <c r="E1585" s="589"/>
      <c r="F1585" s="590"/>
      <c r="G1585" s="591"/>
      <c r="H1585" s="592"/>
      <c r="I1585" s="631">
        <v>9.27</v>
      </c>
      <c r="J1585" s="631">
        <f t="shared" si="392"/>
        <v>9.27</v>
      </c>
      <c r="K1585" s="593">
        <f t="shared" si="393"/>
        <v>11.75</v>
      </c>
      <c r="L1585" s="382" t="s">
        <v>19</v>
      </c>
      <c r="M1585" s="30"/>
      <c r="N1585" s="30">
        <v>11.75</v>
      </c>
      <c r="O1585" s="287">
        <f t="shared" si="394"/>
        <v>0</v>
      </c>
      <c r="P1585" s="287">
        <f t="shared" si="395"/>
        <v>0</v>
      </c>
      <c r="Q1585" s="288"/>
      <c r="R1585" s="243"/>
      <c r="S1585" s="378" t="str">
        <f t="shared" si="391"/>
        <v/>
      </c>
      <c r="U1585" s="722"/>
    </row>
    <row r="1586" spans="2:21" ht="25.5" hidden="1" x14ac:dyDescent="0.2">
      <c r="B1586" s="595">
        <v>98283</v>
      </c>
      <c r="C1586" s="596" t="s">
        <v>817</v>
      </c>
      <c r="D1586" s="597" t="s">
        <v>1675</v>
      </c>
      <c r="E1586" s="589"/>
      <c r="F1586" s="590"/>
      <c r="G1586" s="591"/>
      <c r="H1586" s="592"/>
      <c r="I1586" s="631">
        <v>9.89</v>
      </c>
      <c r="J1586" s="631">
        <f t="shared" si="392"/>
        <v>9.89</v>
      </c>
      <c r="K1586" s="593">
        <f t="shared" si="393"/>
        <v>12.54</v>
      </c>
      <c r="L1586" s="382" t="s">
        <v>19</v>
      </c>
      <c r="M1586" s="30"/>
      <c r="N1586" s="30">
        <v>12.54</v>
      </c>
      <c r="O1586" s="287">
        <f t="shared" si="394"/>
        <v>0</v>
      </c>
      <c r="P1586" s="287">
        <f t="shared" si="395"/>
        <v>0</v>
      </c>
      <c r="Q1586" s="288"/>
      <c r="R1586" s="243"/>
      <c r="S1586" s="378" t="str">
        <f t="shared" si="391"/>
        <v/>
      </c>
      <c r="U1586" s="722"/>
    </row>
    <row r="1587" spans="2:21" ht="25.5" hidden="1" x14ac:dyDescent="0.2">
      <c r="B1587" s="595">
        <v>98284</v>
      </c>
      <c r="C1587" s="596" t="s">
        <v>817</v>
      </c>
      <c r="D1587" s="597" t="s">
        <v>1676</v>
      </c>
      <c r="E1587" s="589"/>
      <c r="F1587" s="590"/>
      <c r="G1587" s="591"/>
      <c r="H1587" s="592"/>
      <c r="I1587" s="631">
        <v>10.83</v>
      </c>
      <c r="J1587" s="631">
        <f t="shared" si="392"/>
        <v>10.83</v>
      </c>
      <c r="K1587" s="593">
        <f t="shared" si="393"/>
        <v>13.73</v>
      </c>
      <c r="L1587" s="382" t="s">
        <v>19</v>
      </c>
      <c r="M1587" s="30"/>
      <c r="N1587" s="30">
        <v>13.73</v>
      </c>
      <c r="O1587" s="287">
        <f t="shared" si="394"/>
        <v>0</v>
      </c>
      <c r="P1587" s="287">
        <f t="shared" si="395"/>
        <v>0</v>
      </c>
      <c r="Q1587" s="288"/>
      <c r="R1587" s="243"/>
      <c r="S1587" s="378" t="str">
        <f t="shared" si="391"/>
        <v/>
      </c>
      <c r="U1587" s="722"/>
    </row>
    <row r="1588" spans="2:21" ht="25.5" hidden="1" x14ac:dyDescent="0.2">
      <c r="B1588" s="595">
        <v>98285</v>
      </c>
      <c r="C1588" s="596" t="s">
        <v>817</v>
      </c>
      <c r="D1588" s="597" t="s">
        <v>1677</v>
      </c>
      <c r="E1588" s="589"/>
      <c r="F1588" s="590"/>
      <c r="G1588" s="591"/>
      <c r="H1588" s="592"/>
      <c r="I1588" s="631">
        <v>11.39</v>
      </c>
      <c r="J1588" s="631">
        <f t="shared" si="392"/>
        <v>11.39</v>
      </c>
      <c r="K1588" s="593">
        <f t="shared" si="393"/>
        <v>14.44</v>
      </c>
      <c r="L1588" s="382" t="s">
        <v>19</v>
      </c>
      <c r="M1588" s="30"/>
      <c r="N1588" s="30">
        <v>14.44</v>
      </c>
      <c r="O1588" s="287">
        <f t="shared" si="394"/>
        <v>0</v>
      </c>
      <c r="P1588" s="287">
        <f t="shared" si="395"/>
        <v>0</v>
      </c>
      <c r="Q1588" s="288"/>
      <c r="R1588" s="243"/>
      <c r="S1588" s="378" t="str">
        <f t="shared" si="391"/>
        <v/>
      </c>
      <c r="U1588" s="722"/>
    </row>
    <row r="1589" spans="2:21" ht="25.5" hidden="1" x14ac:dyDescent="0.2">
      <c r="B1589" s="595">
        <v>98287</v>
      </c>
      <c r="C1589" s="596" t="s">
        <v>817</v>
      </c>
      <c r="D1589" s="597" t="s">
        <v>1678</v>
      </c>
      <c r="E1589" s="589"/>
      <c r="F1589" s="590"/>
      <c r="G1589" s="591"/>
      <c r="H1589" s="592"/>
      <c r="I1589" s="631">
        <v>1.46</v>
      </c>
      <c r="J1589" s="631">
        <f t="shared" si="392"/>
        <v>1.46</v>
      </c>
      <c r="K1589" s="593">
        <f t="shared" si="393"/>
        <v>1.85</v>
      </c>
      <c r="L1589" s="382" t="s">
        <v>19</v>
      </c>
      <c r="M1589" s="30"/>
      <c r="N1589" s="30">
        <v>1.85</v>
      </c>
      <c r="O1589" s="287">
        <f t="shared" si="394"/>
        <v>0</v>
      </c>
      <c r="P1589" s="287">
        <f t="shared" si="395"/>
        <v>0</v>
      </c>
      <c r="Q1589" s="288"/>
      <c r="R1589" s="243"/>
      <c r="S1589" s="378" t="str">
        <f t="shared" ref="S1589:S1658" si="396">IF(R1589="x","x",IF(R1589="y","x",IF(R1589="xy","x",IF(P1589&gt;0,"x",""))))</f>
        <v/>
      </c>
      <c r="U1589" s="722"/>
    </row>
    <row r="1590" spans="2:21" ht="25.5" hidden="1" x14ac:dyDescent="0.2">
      <c r="B1590" s="595">
        <v>98288</v>
      </c>
      <c r="C1590" s="596" t="s">
        <v>817</v>
      </c>
      <c r="D1590" s="597" t="s">
        <v>1679</v>
      </c>
      <c r="E1590" s="589"/>
      <c r="F1590" s="590"/>
      <c r="G1590" s="591"/>
      <c r="H1590" s="592"/>
      <c r="I1590" s="631">
        <v>2.14</v>
      </c>
      <c r="J1590" s="631">
        <f t="shared" si="392"/>
        <v>2.14</v>
      </c>
      <c r="K1590" s="593">
        <f t="shared" si="393"/>
        <v>2.71</v>
      </c>
      <c r="L1590" s="382" t="s">
        <v>19</v>
      </c>
      <c r="M1590" s="30"/>
      <c r="N1590" s="30">
        <v>2.71</v>
      </c>
      <c r="O1590" s="287">
        <f t="shared" si="394"/>
        <v>0</v>
      </c>
      <c r="P1590" s="287">
        <f t="shared" si="395"/>
        <v>0</v>
      </c>
      <c r="Q1590" s="288"/>
      <c r="R1590" s="243"/>
      <c r="S1590" s="378" t="str">
        <f t="shared" si="396"/>
        <v/>
      </c>
      <c r="U1590" s="722"/>
    </row>
    <row r="1591" spans="2:21" ht="25.5" hidden="1" x14ac:dyDescent="0.2">
      <c r="B1591" s="595">
        <v>98289</v>
      </c>
      <c r="C1591" s="596" t="s">
        <v>817</v>
      </c>
      <c r="D1591" s="597" t="s">
        <v>1680</v>
      </c>
      <c r="E1591" s="589"/>
      <c r="F1591" s="590"/>
      <c r="G1591" s="591"/>
      <c r="H1591" s="592"/>
      <c r="I1591" s="631">
        <v>2.96</v>
      </c>
      <c r="J1591" s="631">
        <f t="shared" si="392"/>
        <v>2.96</v>
      </c>
      <c r="K1591" s="593">
        <f t="shared" si="393"/>
        <v>3.75</v>
      </c>
      <c r="L1591" s="382" t="s">
        <v>19</v>
      </c>
      <c r="M1591" s="30"/>
      <c r="N1591" s="30">
        <v>3.75</v>
      </c>
      <c r="O1591" s="287">
        <f t="shared" si="394"/>
        <v>0</v>
      </c>
      <c r="P1591" s="287">
        <f t="shared" si="395"/>
        <v>0</v>
      </c>
      <c r="Q1591" s="288"/>
      <c r="R1591" s="243"/>
      <c r="S1591" s="378" t="str">
        <f t="shared" si="396"/>
        <v/>
      </c>
      <c r="U1591" s="722"/>
    </row>
    <row r="1592" spans="2:21" ht="25.5" hidden="1" x14ac:dyDescent="0.2">
      <c r="B1592" s="595">
        <v>98290</v>
      </c>
      <c r="C1592" s="596" t="s">
        <v>817</v>
      </c>
      <c r="D1592" s="597" t="s">
        <v>1681</v>
      </c>
      <c r="E1592" s="589"/>
      <c r="F1592" s="590"/>
      <c r="G1592" s="591"/>
      <c r="H1592" s="592"/>
      <c r="I1592" s="631">
        <v>3.58</v>
      </c>
      <c r="J1592" s="631">
        <f t="shared" si="392"/>
        <v>3.58</v>
      </c>
      <c r="K1592" s="593">
        <f t="shared" si="393"/>
        <v>4.54</v>
      </c>
      <c r="L1592" s="382" t="s">
        <v>19</v>
      </c>
      <c r="M1592" s="30"/>
      <c r="N1592" s="30">
        <v>4.54</v>
      </c>
      <c r="O1592" s="287">
        <f t="shared" si="394"/>
        <v>0</v>
      </c>
      <c r="P1592" s="287">
        <f t="shared" si="395"/>
        <v>0</v>
      </c>
      <c r="Q1592" s="288"/>
      <c r="R1592" s="243"/>
      <c r="S1592" s="378" t="str">
        <f t="shared" si="396"/>
        <v/>
      </c>
      <c r="U1592" s="722"/>
    </row>
    <row r="1593" spans="2:21" ht="25.5" hidden="1" x14ac:dyDescent="0.2">
      <c r="B1593" s="595">
        <v>98291</v>
      </c>
      <c r="C1593" s="596" t="s">
        <v>817</v>
      </c>
      <c r="D1593" s="597" t="s">
        <v>1682</v>
      </c>
      <c r="E1593" s="589"/>
      <c r="F1593" s="590"/>
      <c r="G1593" s="591"/>
      <c r="H1593" s="592"/>
      <c r="I1593" s="631">
        <v>4.53</v>
      </c>
      <c r="J1593" s="631">
        <f t="shared" si="392"/>
        <v>4.53</v>
      </c>
      <c r="K1593" s="593">
        <f t="shared" si="393"/>
        <v>5.74</v>
      </c>
      <c r="L1593" s="382" t="s">
        <v>19</v>
      </c>
      <c r="M1593" s="30"/>
      <c r="N1593" s="30">
        <v>5.74</v>
      </c>
      <c r="O1593" s="287">
        <f t="shared" si="394"/>
        <v>0</v>
      </c>
      <c r="P1593" s="287">
        <f t="shared" si="395"/>
        <v>0</v>
      </c>
      <c r="Q1593" s="288"/>
      <c r="R1593" s="243"/>
      <c r="S1593" s="378" t="str">
        <f t="shared" si="396"/>
        <v/>
      </c>
      <c r="U1593" s="722"/>
    </row>
    <row r="1594" spans="2:21" ht="25.5" hidden="1" x14ac:dyDescent="0.2">
      <c r="B1594" s="595">
        <v>98292</v>
      </c>
      <c r="C1594" s="596" t="s">
        <v>817</v>
      </c>
      <c r="D1594" s="597" t="s">
        <v>1683</v>
      </c>
      <c r="E1594" s="589"/>
      <c r="F1594" s="590"/>
      <c r="G1594" s="591"/>
      <c r="H1594" s="592"/>
      <c r="I1594" s="631">
        <v>5.08</v>
      </c>
      <c r="J1594" s="631">
        <f t="shared" si="392"/>
        <v>5.08</v>
      </c>
      <c r="K1594" s="593">
        <f t="shared" si="393"/>
        <v>6.44</v>
      </c>
      <c r="L1594" s="382" t="s">
        <v>19</v>
      </c>
      <c r="M1594" s="30"/>
      <c r="N1594" s="30">
        <v>6.44</v>
      </c>
      <c r="O1594" s="287">
        <f t="shared" si="394"/>
        <v>0</v>
      </c>
      <c r="P1594" s="287">
        <f t="shared" si="395"/>
        <v>0</v>
      </c>
      <c r="Q1594" s="288"/>
      <c r="R1594" s="243"/>
      <c r="S1594" s="378" t="str">
        <f t="shared" si="396"/>
        <v/>
      </c>
      <c r="U1594" s="722"/>
    </row>
    <row r="1595" spans="2:21" hidden="1" x14ac:dyDescent="0.2">
      <c r="B1595" s="595">
        <v>98397</v>
      </c>
      <c r="C1595" s="596" t="s">
        <v>817</v>
      </c>
      <c r="D1595" s="597" t="s">
        <v>1684</v>
      </c>
      <c r="E1595" s="589"/>
      <c r="F1595" s="590"/>
      <c r="G1595" s="591"/>
      <c r="H1595" s="592"/>
      <c r="I1595" s="631">
        <v>11.96</v>
      </c>
      <c r="J1595" s="631">
        <f t="shared" si="392"/>
        <v>11.96</v>
      </c>
      <c r="K1595" s="593">
        <f t="shared" si="393"/>
        <v>15.16</v>
      </c>
      <c r="L1595" s="382" t="s">
        <v>18</v>
      </c>
      <c r="M1595" s="30"/>
      <c r="N1595" s="30">
        <v>15.16</v>
      </c>
      <c r="O1595" s="287">
        <f t="shared" si="394"/>
        <v>0</v>
      </c>
      <c r="P1595" s="287">
        <f t="shared" si="395"/>
        <v>0</v>
      </c>
      <c r="Q1595" s="288"/>
      <c r="R1595" s="243"/>
      <c r="S1595" s="378" t="str">
        <f t="shared" si="396"/>
        <v/>
      </c>
      <c r="U1595" s="722"/>
    </row>
    <row r="1596" spans="2:21" ht="25.5" hidden="1" x14ac:dyDescent="0.2">
      <c r="B1596" s="595">
        <v>97327</v>
      </c>
      <c r="C1596" s="596" t="s">
        <v>817</v>
      </c>
      <c r="D1596" s="597" t="s">
        <v>1685</v>
      </c>
      <c r="E1596" s="589"/>
      <c r="F1596" s="590"/>
      <c r="G1596" s="591"/>
      <c r="H1596" s="592"/>
      <c r="I1596" s="631">
        <v>31.34</v>
      </c>
      <c r="J1596" s="631">
        <f t="shared" si="392"/>
        <v>31.34</v>
      </c>
      <c r="K1596" s="593">
        <f t="shared" si="393"/>
        <v>39.72</v>
      </c>
      <c r="L1596" s="382" t="s">
        <v>19</v>
      </c>
      <c r="M1596" s="30"/>
      <c r="N1596" s="30">
        <v>39.72</v>
      </c>
      <c r="O1596" s="287">
        <f t="shared" si="394"/>
        <v>0</v>
      </c>
      <c r="P1596" s="287">
        <f t="shared" si="395"/>
        <v>0</v>
      </c>
      <c r="Q1596" s="288"/>
      <c r="R1596" s="243"/>
      <c r="S1596" s="378" t="str">
        <f t="shared" si="396"/>
        <v/>
      </c>
      <c r="U1596" s="722"/>
    </row>
    <row r="1597" spans="2:21" ht="25.5" hidden="1" x14ac:dyDescent="0.2">
      <c r="B1597" s="595">
        <v>97328</v>
      </c>
      <c r="C1597" s="596" t="s">
        <v>817</v>
      </c>
      <c r="D1597" s="597" t="s">
        <v>1686</v>
      </c>
      <c r="E1597" s="589"/>
      <c r="F1597" s="590"/>
      <c r="G1597" s="591"/>
      <c r="H1597" s="592"/>
      <c r="I1597" s="631">
        <v>52.89</v>
      </c>
      <c r="J1597" s="631">
        <f t="shared" si="392"/>
        <v>52.89</v>
      </c>
      <c r="K1597" s="593">
        <f t="shared" si="393"/>
        <v>67.040000000000006</v>
      </c>
      <c r="L1597" s="382" t="s">
        <v>19</v>
      </c>
      <c r="M1597" s="30"/>
      <c r="N1597" s="30">
        <v>67.040000000000006</v>
      </c>
      <c r="O1597" s="287">
        <f t="shared" si="394"/>
        <v>0</v>
      </c>
      <c r="P1597" s="287">
        <f t="shared" si="395"/>
        <v>0</v>
      </c>
      <c r="Q1597" s="288"/>
      <c r="R1597" s="243"/>
      <c r="S1597" s="378" t="str">
        <f t="shared" si="396"/>
        <v/>
      </c>
      <c r="U1597" s="722"/>
    </row>
    <row r="1598" spans="2:21" ht="25.5" hidden="1" x14ac:dyDescent="0.2">
      <c r="B1598" s="595">
        <v>97329</v>
      </c>
      <c r="C1598" s="596" t="s">
        <v>817</v>
      </c>
      <c r="D1598" s="597" t="s">
        <v>1687</v>
      </c>
      <c r="E1598" s="589"/>
      <c r="F1598" s="590"/>
      <c r="G1598" s="591"/>
      <c r="H1598" s="592"/>
      <c r="I1598" s="631">
        <v>67.069999999999993</v>
      </c>
      <c r="J1598" s="631">
        <f t="shared" si="392"/>
        <v>67.069999999999993</v>
      </c>
      <c r="K1598" s="593">
        <f t="shared" si="393"/>
        <v>85.01</v>
      </c>
      <c r="L1598" s="382" t="s">
        <v>19</v>
      </c>
      <c r="M1598" s="30"/>
      <c r="N1598" s="30">
        <v>85.01</v>
      </c>
      <c r="O1598" s="287">
        <f t="shared" si="394"/>
        <v>0</v>
      </c>
      <c r="P1598" s="287">
        <f t="shared" si="395"/>
        <v>0</v>
      </c>
      <c r="Q1598" s="288"/>
      <c r="R1598" s="243"/>
      <c r="S1598" s="378" t="str">
        <f t="shared" si="396"/>
        <v/>
      </c>
      <c r="U1598" s="722"/>
    </row>
    <row r="1599" spans="2:21" ht="25.5" hidden="1" x14ac:dyDescent="0.2">
      <c r="B1599" s="595">
        <v>97330</v>
      </c>
      <c r="C1599" s="596" t="s">
        <v>817</v>
      </c>
      <c r="D1599" s="597" t="s">
        <v>1688</v>
      </c>
      <c r="E1599" s="589"/>
      <c r="F1599" s="590"/>
      <c r="G1599" s="591"/>
      <c r="H1599" s="592"/>
      <c r="I1599" s="631">
        <v>82.02</v>
      </c>
      <c r="J1599" s="631">
        <f t="shared" si="392"/>
        <v>82.02</v>
      </c>
      <c r="K1599" s="593">
        <f t="shared" si="393"/>
        <v>103.96</v>
      </c>
      <c r="L1599" s="382" t="s">
        <v>19</v>
      </c>
      <c r="M1599" s="30"/>
      <c r="N1599" s="30">
        <v>103.96</v>
      </c>
      <c r="O1599" s="287">
        <f t="shared" si="394"/>
        <v>0</v>
      </c>
      <c r="P1599" s="287">
        <f t="shared" si="395"/>
        <v>0</v>
      </c>
      <c r="Q1599" s="288"/>
      <c r="R1599" s="243"/>
      <c r="S1599" s="378" t="str">
        <f t="shared" si="396"/>
        <v/>
      </c>
      <c r="U1599" s="722"/>
    </row>
    <row r="1600" spans="2:21" ht="25.5" hidden="1" x14ac:dyDescent="0.2">
      <c r="B1600" s="595">
        <v>97331</v>
      </c>
      <c r="C1600" s="596" t="s">
        <v>817</v>
      </c>
      <c r="D1600" s="597" t="s">
        <v>1689</v>
      </c>
      <c r="E1600" s="589"/>
      <c r="F1600" s="590"/>
      <c r="G1600" s="591"/>
      <c r="H1600" s="592"/>
      <c r="I1600" s="631">
        <v>31.69</v>
      </c>
      <c r="J1600" s="631">
        <f t="shared" si="392"/>
        <v>31.69</v>
      </c>
      <c r="K1600" s="593">
        <f t="shared" si="393"/>
        <v>40.17</v>
      </c>
      <c r="L1600" s="382" t="s">
        <v>19</v>
      </c>
      <c r="M1600" s="30"/>
      <c r="N1600" s="30">
        <v>40.17</v>
      </c>
      <c r="O1600" s="287">
        <f t="shared" si="394"/>
        <v>0</v>
      </c>
      <c r="P1600" s="287">
        <f t="shared" si="395"/>
        <v>0</v>
      </c>
      <c r="Q1600" s="288"/>
      <c r="R1600" s="243"/>
      <c r="S1600" s="378" t="str">
        <f t="shared" si="396"/>
        <v/>
      </c>
      <c r="U1600" s="722"/>
    </row>
    <row r="1601" spans="2:21" ht="25.5" hidden="1" x14ac:dyDescent="0.2">
      <c r="B1601" s="595">
        <v>97332</v>
      </c>
      <c r="C1601" s="596" t="s">
        <v>817</v>
      </c>
      <c r="D1601" s="597" t="s">
        <v>1690</v>
      </c>
      <c r="E1601" s="589"/>
      <c r="F1601" s="590"/>
      <c r="G1601" s="591"/>
      <c r="H1601" s="592"/>
      <c r="I1601" s="631">
        <v>53.29</v>
      </c>
      <c r="J1601" s="631">
        <f t="shared" si="392"/>
        <v>53.29</v>
      </c>
      <c r="K1601" s="593">
        <f t="shared" si="393"/>
        <v>67.55</v>
      </c>
      <c r="L1601" s="382" t="s">
        <v>19</v>
      </c>
      <c r="M1601" s="30"/>
      <c r="N1601" s="30">
        <v>67.55</v>
      </c>
      <c r="O1601" s="287">
        <f t="shared" si="394"/>
        <v>0</v>
      </c>
      <c r="P1601" s="287">
        <f t="shared" si="395"/>
        <v>0</v>
      </c>
      <c r="Q1601" s="288"/>
      <c r="R1601" s="243"/>
      <c r="S1601" s="378" t="str">
        <f t="shared" si="396"/>
        <v/>
      </c>
      <c r="U1601" s="722"/>
    </row>
    <row r="1602" spans="2:21" ht="25.5" hidden="1" x14ac:dyDescent="0.2">
      <c r="B1602" s="595">
        <v>97333</v>
      </c>
      <c r="C1602" s="596" t="s">
        <v>817</v>
      </c>
      <c r="D1602" s="597" t="s">
        <v>1691</v>
      </c>
      <c r="E1602" s="589"/>
      <c r="F1602" s="590"/>
      <c r="G1602" s="591"/>
      <c r="H1602" s="592"/>
      <c r="I1602" s="631">
        <v>67.569999999999993</v>
      </c>
      <c r="J1602" s="631">
        <f t="shared" si="392"/>
        <v>67.569999999999993</v>
      </c>
      <c r="K1602" s="593">
        <f t="shared" si="393"/>
        <v>85.64</v>
      </c>
      <c r="L1602" s="382" t="s">
        <v>19</v>
      </c>
      <c r="M1602" s="30"/>
      <c r="N1602" s="30">
        <v>85.64</v>
      </c>
      <c r="O1602" s="287">
        <f t="shared" si="394"/>
        <v>0</v>
      </c>
      <c r="P1602" s="287">
        <f t="shared" si="395"/>
        <v>0</v>
      </c>
      <c r="Q1602" s="288"/>
      <c r="R1602" s="243"/>
      <c r="S1602" s="378" t="str">
        <f t="shared" si="396"/>
        <v/>
      </c>
      <c r="U1602" s="722"/>
    </row>
    <row r="1603" spans="2:21" ht="25.5" hidden="1" x14ac:dyDescent="0.2">
      <c r="B1603" s="595">
        <v>97334</v>
      </c>
      <c r="C1603" s="596" t="s">
        <v>817</v>
      </c>
      <c r="D1603" s="597" t="s">
        <v>1692</v>
      </c>
      <c r="E1603" s="589"/>
      <c r="F1603" s="590"/>
      <c r="G1603" s="591"/>
      <c r="H1603" s="592"/>
      <c r="I1603" s="631">
        <v>82.57</v>
      </c>
      <c r="J1603" s="631">
        <f t="shared" si="392"/>
        <v>82.57</v>
      </c>
      <c r="K1603" s="593">
        <f t="shared" si="393"/>
        <v>104.66</v>
      </c>
      <c r="L1603" s="382" t="s">
        <v>19</v>
      </c>
      <c r="M1603" s="30"/>
      <c r="N1603" s="30">
        <v>104.66</v>
      </c>
      <c r="O1603" s="287">
        <f t="shared" si="394"/>
        <v>0</v>
      </c>
      <c r="P1603" s="287">
        <f t="shared" si="395"/>
        <v>0</v>
      </c>
      <c r="Q1603" s="288"/>
      <c r="R1603" s="243"/>
      <c r="S1603" s="378" t="str">
        <f t="shared" si="396"/>
        <v/>
      </c>
      <c r="U1603" s="722"/>
    </row>
    <row r="1604" spans="2:21" hidden="1" x14ac:dyDescent="0.2">
      <c r="B1604" s="595">
        <v>844000</v>
      </c>
      <c r="C1604" s="596" t="s">
        <v>207</v>
      </c>
      <c r="D1604" s="597" t="s">
        <v>735</v>
      </c>
      <c r="E1604" s="589"/>
      <c r="F1604" s="590"/>
      <c r="G1604" s="591"/>
      <c r="H1604" s="592"/>
      <c r="I1604" s="631">
        <v>4775.3500000000004</v>
      </c>
      <c r="J1604" s="631">
        <f>IF(ISBLANK(I1604),"",SUM(H1604:I1604))</f>
        <v>4775.3500000000004</v>
      </c>
      <c r="K1604" s="593">
        <f t="shared" si="393"/>
        <v>6052.76</v>
      </c>
      <c r="L1604" s="382" t="s">
        <v>21</v>
      </c>
      <c r="M1604" s="30"/>
      <c r="N1604" s="30">
        <v>6052.76</v>
      </c>
      <c r="O1604" s="287">
        <f t="shared" si="394"/>
        <v>0</v>
      </c>
      <c r="P1604" s="287">
        <f t="shared" si="395"/>
        <v>0</v>
      </c>
      <c r="Q1604" s="288"/>
      <c r="R1604" s="243"/>
      <c r="S1604" s="378" t="str">
        <f t="shared" si="396"/>
        <v/>
      </c>
      <c r="U1604" s="722"/>
    </row>
    <row r="1605" spans="2:21" hidden="1" x14ac:dyDescent="0.2">
      <c r="B1605" s="608" t="s">
        <v>188</v>
      </c>
      <c r="C1605" s="638"/>
      <c r="D1605" s="386" t="s">
        <v>719</v>
      </c>
      <c r="E1605" s="387"/>
      <c r="F1605" s="388"/>
      <c r="G1605" s="389"/>
      <c r="H1605" s="390"/>
      <c r="I1605" s="391"/>
      <c r="J1605" s="391"/>
      <c r="K1605" s="601"/>
      <c r="L1605" s="391" t="s">
        <v>755</v>
      </c>
      <c r="M1605" s="390"/>
      <c r="N1605" s="391"/>
      <c r="O1605" s="391"/>
      <c r="P1605" s="392"/>
      <c r="Q1605" s="288"/>
      <c r="R1605" s="377" t="str">
        <f>IF(SUM(P1606:P1637)&gt;0,"y","")</f>
        <v/>
      </c>
      <c r="S1605" s="378" t="str">
        <f t="shared" si="396"/>
        <v/>
      </c>
      <c r="U1605" s="722"/>
    </row>
    <row r="1606" spans="2:21" hidden="1" x14ac:dyDescent="0.2">
      <c r="B1606" s="609" t="s">
        <v>188</v>
      </c>
      <c r="C1606" s="746" t="s">
        <v>188</v>
      </c>
      <c r="D1606" s="401"/>
      <c r="E1606" s="394"/>
      <c r="F1606" s="402"/>
      <c r="G1606" s="396"/>
      <c r="H1606" s="395"/>
      <c r="I1606" s="397"/>
      <c r="J1606" s="398"/>
      <c r="K1606" s="602">
        <f t="shared" ref="K1606:K1637" si="397">IF(ISBLANK(J1606),0,ROUND(J1606*(1+$F$10)*(1+$F$11*E1606),2))</f>
        <v>0</v>
      </c>
      <c r="L1606" s="400" t="s">
        <v>755</v>
      </c>
      <c r="M1606" s="415"/>
      <c r="N1606" s="415">
        <v>0</v>
      </c>
      <c r="O1606" s="287">
        <f t="shared" ref="O1606" si="398">IF(ISBLANK(M1606),0,ROUND(K1606*M1606,2))</f>
        <v>0</v>
      </c>
      <c r="P1606" s="384">
        <f t="shared" ref="P1606:P1637" si="399">IF(ISBLANK(N1606),0,ROUND(M1606*N1606,2))</f>
        <v>0</v>
      </c>
      <c r="Q1606" s="288"/>
      <c r="R1606" s="243"/>
      <c r="S1606" s="378" t="str">
        <f t="shared" si="396"/>
        <v/>
      </c>
      <c r="U1606" s="722"/>
    </row>
    <row r="1607" spans="2:21" hidden="1" x14ac:dyDescent="0.2">
      <c r="B1607" s="609" t="s">
        <v>188</v>
      </c>
      <c r="C1607" s="746" t="s">
        <v>188</v>
      </c>
      <c r="D1607" s="401"/>
      <c r="E1607" s="394"/>
      <c r="F1607" s="402"/>
      <c r="G1607" s="396"/>
      <c r="H1607" s="395"/>
      <c r="I1607" s="397"/>
      <c r="J1607" s="398"/>
      <c r="K1607" s="603">
        <f t="shared" si="397"/>
        <v>0</v>
      </c>
      <c r="L1607" s="400" t="s">
        <v>755</v>
      </c>
      <c r="M1607" s="30"/>
      <c r="N1607" s="30">
        <v>0</v>
      </c>
      <c r="O1607" s="287">
        <f>IF(ISBLANK(M1607),0,ROUND(K1607*M1607,2))</f>
        <v>0</v>
      </c>
      <c r="P1607" s="287">
        <f t="shared" si="399"/>
        <v>0</v>
      </c>
      <c r="Q1607" s="288"/>
      <c r="R1607" s="243"/>
      <c r="S1607" s="378" t="str">
        <f t="shared" si="396"/>
        <v/>
      </c>
      <c r="U1607" s="722"/>
    </row>
    <row r="1608" spans="2:21" hidden="1" x14ac:dyDescent="0.2">
      <c r="B1608" s="609" t="s">
        <v>188</v>
      </c>
      <c r="C1608" s="746" t="s">
        <v>188</v>
      </c>
      <c r="D1608" s="401"/>
      <c r="E1608" s="394"/>
      <c r="F1608" s="402"/>
      <c r="G1608" s="396"/>
      <c r="H1608" s="395"/>
      <c r="I1608" s="397"/>
      <c r="J1608" s="398"/>
      <c r="K1608" s="603">
        <f t="shared" si="397"/>
        <v>0</v>
      </c>
      <c r="L1608" s="400" t="s">
        <v>755</v>
      </c>
      <c r="M1608" s="30"/>
      <c r="N1608" s="30">
        <v>0</v>
      </c>
      <c r="O1608" s="287">
        <f t="shared" ref="O1608:O1637" si="400">IF(ISBLANK(M1608),0,ROUND(K1608*M1608,2))</f>
        <v>0</v>
      </c>
      <c r="P1608" s="287">
        <f t="shared" si="399"/>
        <v>0</v>
      </c>
      <c r="Q1608" s="288"/>
      <c r="R1608" s="243"/>
      <c r="S1608" s="378" t="str">
        <f t="shared" si="396"/>
        <v/>
      </c>
      <c r="U1608" s="722"/>
    </row>
    <row r="1609" spans="2:21" hidden="1" x14ac:dyDescent="0.2">
      <c r="B1609" s="609" t="s">
        <v>188</v>
      </c>
      <c r="C1609" s="746" t="s">
        <v>188</v>
      </c>
      <c r="D1609" s="401"/>
      <c r="E1609" s="394"/>
      <c r="F1609" s="402"/>
      <c r="G1609" s="396"/>
      <c r="H1609" s="395"/>
      <c r="I1609" s="397"/>
      <c r="J1609" s="398"/>
      <c r="K1609" s="603">
        <f t="shared" si="397"/>
        <v>0</v>
      </c>
      <c r="L1609" s="400" t="s">
        <v>755</v>
      </c>
      <c r="M1609" s="30"/>
      <c r="N1609" s="30">
        <v>0</v>
      </c>
      <c r="O1609" s="287">
        <f t="shared" si="400"/>
        <v>0</v>
      </c>
      <c r="P1609" s="287">
        <f t="shared" si="399"/>
        <v>0</v>
      </c>
      <c r="Q1609" s="288"/>
      <c r="R1609" s="243"/>
      <c r="S1609" s="378" t="str">
        <f t="shared" si="396"/>
        <v/>
      </c>
      <c r="U1609" s="722"/>
    </row>
    <row r="1610" spans="2:21" hidden="1" x14ac:dyDescent="0.2">
      <c r="B1610" s="609" t="s">
        <v>188</v>
      </c>
      <c r="C1610" s="746" t="s">
        <v>188</v>
      </c>
      <c r="D1610" s="401"/>
      <c r="E1610" s="394"/>
      <c r="F1610" s="402"/>
      <c r="G1610" s="396"/>
      <c r="H1610" s="395"/>
      <c r="I1610" s="397"/>
      <c r="J1610" s="398"/>
      <c r="K1610" s="603">
        <f t="shared" si="397"/>
        <v>0</v>
      </c>
      <c r="L1610" s="400" t="s">
        <v>755</v>
      </c>
      <c r="M1610" s="30"/>
      <c r="N1610" s="30">
        <v>0</v>
      </c>
      <c r="O1610" s="287">
        <f t="shared" si="400"/>
        <v>0</v>
      </c>
      <c r="P1610" s="287">
        <f t="shared" si="399"/>
        <v>0</v>
      </c>
      <c r="Q1610" s="288"/>
      <c r="R1610" s="243"/>
      <c r="S1610" s="378" t="str">
        <f t="shared" si="396"/>
        <v/>
      </c>
      <c r="U1610" s="722"/>
    </row>
    <row r="1611" spans="2:21" hidden="1" x14ac:dyDescent="0.2">
      <c r="B1611" s="609" t="s">
        <v>188</v>
      </c>
      <c r="C1611" s="746" t="s">
        <v>188</v>
      </c>
      <c r="D1611" s="401"/>
      <c r="E1611" s="394"/>
      <c r="F1611" s="402"/>
      <c r="G1611" s="396"/>
      <c r="H1611" s="395"/>
      <c r="I1611" s="397"/>
      <c r="J1611" s="398"/>
      <c r="K1611" s="603">
        <f t="shared" si="397"/>
        <v>0</v>
      </c>
      <c r="L1611" s="400" t="s">
        <v>755</v>
      </c>
      <c r="M1611" s="30"/>
      <c r="N1611" s="30">
        <v>0</v>
      </c>
      <c r="O1611" s="287">
        <f t="shared" si="400"/>
        <v>0</v>
      </c>
      <c r="P1611" s="287">
        <f t="shared" si="399"/>
        <v>0</v>
      </c>
      <c r="Q1611" s="288"/>
      <c r="R1611" s="243"/>
      <c r="S1611" s="378" t="str">
        <f t="shared" si="396"/>
        <v/>
      </c>
      <c r="U1611" s="722"/>
    </row>
    <row r="1612" spans="2:21" hidden="1" x14ac:dyDescent="0.2">
      <c r="B1612" s="609" t="s">
        <v>188</v>
      </c>
      <c r="C1612" s="746" t="s">
        <v>188</v>
      </c>
      <c r="D1612" s="401"/>
      <c r="E1612" s="394"/>
      <c r="F1612" s="402"/>
      <c r="G1612" s="396"/>
      <c r="H1612" s="395"/>
      <c r="I1612" s="397"/>
      <c r="J1612" s="398"/>
      <c r="K1612" s="603">
        <f t="shared" si="397"/>
        <v>0</v>
      </c>
      <c r="L1612" s="400" t="s">
        <v>755</v>
      </c>
      <c r="M1612" s="30"/>
      <c r="N1612" s="30">
        <v>0</v>
      </c>
      <c r="O1612" s="287">
        <f t="shared" si="400"/>
        <v>0</v>
      </c>
      <c r="P1612" s="287">
        <f t="shared" si="399"/>
        <v>0</v>
      </c>
      <c r="Q1612" s="288"/>
      <c r="R1612" s="243"/>
      <c r="S1612" s="378" t="str">
        <f t="shared" si="396"/>
        <v/>
      </c>
      <c r="U1612" s="722"/>
    </row>
    <row r="1613" spans="2:21" hidden="1" x14ac:dyDescent="0.2">
      <c r="B1613" s="609" t="s">
        <v>188</v>
      </c>
      <c r="C1613" s="746" t="s">
        <v>188</v>
      </c>
      <c r="D1613" s="401"/>
      <c r="E1613" s="394"/>
      <c r="F1613" s="402"/>
      <c r="G1613" s="396"/>
      <c r="H1613" s="395"/>
      <c r="I1613" s="397"/>
      <c r="J1613" s="398"/>
      <c r="K1613" s="603">
        <f t="shared" si="397"/>
        <v>0</v>
      </c>
      <c r="L1613" s="400" t="s">
        <v>755</v>
      </c>
      <c r="M1613" s="30"/>
      <c r="N1613" s="30">
        <v>0</v>
      </c>
      <c r="O1613" s="287">
        <f t="shared" si="400"/>
        <v>0</v>
      </c>
      <c r="P1613" s="287">
        <f t="shared" si="399"/>
        <v>0</v>
      </c>
      <c r="Q1613" s="288"/>
      <c r="R1613" s="243"/>
      <c r="S1613" s="378" t="str">
        <f t="shared" si="396"/>
        <v/>
      </c>
      <c r="U1613" s="722"/>
    </row>
    <row r="1614" spans="2:21" hidden="1" x14ac:dyDescent="0.2">
      <c r="B1614" s="609" t="s">
        <v>188</v>
      </c>
      <c r="C1614" s="746" t="s">
        <v>188</v>
      </c>
      <c r="D1614" s="401"/>
      <c r="E1614" s="394"/>
      <c r="F1614" s="402"/>
      <c r="G1614" s="396"/>
      <c r="H1614" s="395"/>
      <c r="I1614" s="397"/>
      <c r="J1614" s="398"/>
      <c r="K1614" s="603">
        <f t="shared" si="397"/>
        <v>0</v>
      </c>
      <c r="L1614" s="400" t="s">
        <v>755</v>
      </c>
      <c r="M1614" s="30"/>
      <c r="N1614" s="30">
        <v>0</v>
      </c>
      <c r="O1614" s="287">
        <f t="shared" si="400"/>
        <v>0</v>
      </c>
      <c r="P1614" s="287">
        <f t="shared" si="399"/>
        <v>0</v>
      </c>
      <c r="Q1614" s="288"/>
      <c r="R1614" s="243"/>
      <c r="S1614" s="378" t="str">
        <f t="shared" si="396"/>
        <v/>
      </c>
      <c r="U1614" s="722"/>
    </row>
    <row r="1615" spans="2:21" hidden="1" x14ac:dyDescent="0.2">
      <c r="B1615" s="609" t="s">
        <v>188</v>
      </c>
      <c r="C1615" s="746" t="s">
        <v>188</v>
      </c>
      <c r="D1615" s="401"/>
      <c r="E1615" s="394"/>
      <c r="F1615" s="402"/>
      <c r="G1615" s="396"/>
      <c r="H1615" s="395"/>
      <c r="I1615" s="397"/>
      <c r="J1615" s="398"/>
      <c r="K1615" s="603">
        <f t="shared" si="397"/>
        <v>0</v>
      </c>
      <c r="L1615" s="400" t="s">
        <v>755</v>
      </c>
      <c r="M1615" s="30"/>
      <c r="N1615" s="30">
        <v>0</v>
      </c>
      <c r="O1615" s="287">
        <f t="shared" si="400"/>
        <v>0</v>
      </c>
      <c r="P1615" s="287">
        <f t="shared" si="399"/>
        <v>0</v>
      </c>
      <c r="Q1615" s="288"/>
      <c r="R1615" s="243"/>
      <c r="S1615" s="378" t="str">
        <f t="shared" si="396"/>
        <v/>
      </c>
      <c r="U1615" s="722"/>
    </row>
    <row r="1616" spans="2:21" hidden="1" x14ac:dyDescent="0.2">
      <c r="B1616" s="609" t="s">
        <v>188</v>
      </c>
      <c r="C1616" s="746" t="s">
        <v>188</v>
      </c>
      <c r="D1616" s="401"/>
      <c r="E1616" s="394"/>
      <c r="F1616" s="402"/>
      <c r="G1616" s="396"/>
      <c r="H1616" s="395"/>
      <c r="I1616" s="397"/>
      <c r="J1616" s="398"/>
      <c r="K1616" s="603">
        <f t="shared" si="397"/>
        <v>0</v>
      </c>
      <c r="L1616" s="400" t="s">
        <v>755</v>
      </c>
      <c r="M1616" s="30"/>
      <c r="N1616" s="30">
        <v>0</v>
      </c>
      <c r="O1616" s="287">
        <f t="shared" si="400"/>
        <v>0</v>
      </c>
      <c r="P1616" s="287">
        <f t="shared" si="399"/>
        <v>0</v>
      </c>
      <c r="Q1616" s="288"/>
      <c r="R1616" s="243"/>
      <c r="S1616" s="378" t="str">
        <f t="shared" si="396"/>
        <v/>
      </c>
      <c r="U1616" s="722"/>
    </row>
    <row r="1617" spans="2:21" hidden="1" x14ac:dyDescent="0.2">
      <c r="B1617" s="609" t="s">
        <v>188</v>
      </c>
      <c r="C1617" s="746" t="s">
        <v>188</v>
      </c>
      <c r="D1617" s="401"/>
      <c r="E1617" s="394"/>
      <c r="F1617" s="402"/>
      <c r="G1617" s="396"/>
      <c r="H1617" s="395"/>
      <c r="I1617" s="397"/>
      <c r="J1617" s="398"/>
      <c r="K1617" s="603">
        <f t="shared" si="397"/>
        <v>0</v>
      </c>
      <c r="L1617" s="400" t="s">
        <v>755</v>
      </c>
      <c r="M1617" s="30"/>
      <c r="N1617" s="30">
        <v>0</v>
      </c>
      <c r="O1617" s="287">
        <f t="shared" si="400"/>
        <v>0</v>
      </c>
      <c r="P1617" s="287">
        <f t="shared" si="399"/>
        <v>0</v>
      </c>
      <c r="Q1617" s="288"/>
      <c r="R1617" s="243"/>
      <c r="S1617" s="378" t="str">
        <f t="shared" si="396"/>
        <v/>
      </c>
      <c r="U1617" s="722"/>
    </row>
    <row r="1618" spans="2:21" hidden="1" x14ac:dyDescent="0.2">
      <c r="B1618" s="609" t="s">
        <v>188</v>
      </c>
      <c r="C1618" s="746" t="s">
        <v>188</v>
      </c>
      <c r="D1618" s="401"/>
      <c r="E1618" s="394"/>
      <c r="F1618" s="402"/>
      <c r="G1618" s="396"/>
      <c r="H1618" s="395"/>
      <c r="I1618" s="397"/>
      <c r="J1618" s="398"/>
      <c r="K1618" s="603">
        <f t="shared" si="397"/>
        <v>0</v>
      </c>
      <c r="L1618" s="400" t="s">
        <v>755</v>
      </c>
      <c r="M1618" s="30"/>
      <c r="N1618" s="30">
        <v>0</v>
      </c>
      <c r="O1618" s="287">
        <f t="shared" si="400"/>
        <v>0</v>
      </c>
      <c r="P1618" s="287">
        <f t="shared" si="399"/>
        <v>0</v>
      </c>
      <c r="Q1618" s="288"/>
      <c r="R1618" s="243"/>
      <c r="S1618" s="378" t="str">
        <f t="shared" si="396"/>
        <v/>
      </c>
      <c r="U1618" s="722"/>
    </row>
    <row r="1619" spans="2:21" hidden="1" x14ac:dyDescent="0.2">
      <c r="B1619" s="609" t="s">
        <v>188</v>
      </c>
      <c r="C1619" s="746" t="s">
        <v>188</v>
      </c>
      <c r="D1619" s="401"/>
      <c r="E1619" s="394"/>
      <c r="F1619" s="402"/>
      <c r="G1619" s="396"/>
      <c r="H1619" s="395"/>
      <c r="I1619" s="397"/>
      <c r="J1619" s="398"/>
      <c r="K1619" s="603">
        <f t="shared" si="397"/>
        <v>0</v>
      </c>
      <c r="L1619" s="400" t="s">
        <v>755</v>
      </c>
      <c r="M1619" s="30"/>
      <c r="N1619" s="30">
        <v>0</v>
      </c>
      <c r="O1619" s="287">
        <f t="shared" si="400"/>
        <v>0</v>
      </c>
      <c r="P1619" s="287">
        <f t="shared" si="399"/>
        <v>0</v>
      </c>
      <c r="Q1619" s="288"/>
      <c r="R1619" s="243"/>
      <c r="S1619" s="378" t="str">
        <f t="shared" si="396"/>
        <v/>
      </c>
      <c r="U1619" s="722"/>
    </row>
    <row r="1620" spans="2:21" hidden="1" x14ac:dyDescent="0.2">
      <c r="B1620" s="609" t="s">
        <v>188</v>
      </c>
      <c r="C1620" s="746" t="s">
        <v>188</v>
      </c>
      <c r="D1620" s="401"/>
      <c r="E1620" s="394"/>
      <c r="F1620" s="402"/>
      <c r="G1620" s="396"/>
      <c r="H1620" s="395"/>
      <c r="I1620" s="397"/>
      <c r="J1620" s="398"/>
      <c r="K1620" s="603">
        <f t="shared" si="397"/>
        <v>0</v>
      </c>
      <c r="L1620" s="400" t="s">
        <v>755</v>
      </c>
      <c r="M1620" s="30"/>
      <c r="N1620" s="30">
        <v>0</v>
      </c>
      <c r="O1620" s="287">
        <f t="shared" si="400"/>
        <v>0</v>
      </c>
      <c r="P1620" s="287">
        <f t="shared" si="399"/>
        <v>0</v>
      </c>
      <c r="Q1620" s="288"/>
      <c r="R1620" s="243"/>
      <c r="S1620" s="378" t="str">
        <f t="shared" si="396"/>
        <v/>
      </c>
      <c r="U1620" s="722"/>
    </row>
    <row r="1621" spans="2:21" hidden="1" x14ac:dyDescent="0.2">
      <c r="B1621" s="609" t="s">
        <v>188</v>
      </c>
      <c r="C1621" s="746" t="s">
        <v>188</v>
      </c>
      <c r="D1621" s="401"/>
      <c r="E1621" s="394"/>
      <c r="F1621" s="402"/>
      <c r="G1621" s="396"/>
      <c r="H1621" s="395"/>
      <c r="I1621" s="397"/>
      <c r="J1621" s="398"/>
      <c r="K1621" s="603">
        <f t="shared" si="397"/>
        <v>0</v>
      </c>
      <c r="L1621" s="400" t="s">
        <v>755</v>
      </c>
      <c r="M1621" s="30"/>
      <c r="N1621" s="30">
        <v>0</v>
      </c>
      <c r="O1621" s="287">
        <f t="shared" si="400"/>
        <v>0</v>
      </c>
      <c r="P1621" s="287">
        <f t="shared" si="399"/>
        <v>0</v>
      </c>
      <c r="Q1621" s="288"/>
      <c r="R1621" s="243"/>
      <c r="S1621" s="378" t="str">
        <f t="shared" si="396"/>
        <v/>
      </c>
      <c r="U1621" s="722"/>
    </row>
    <row r="1622" spans="2:21" hidden="1" x14ac:dyDescent="0.2">
      <c r="B1622" s="609" t="s">
        <v>188</v>
      </c>
      <c r="C1622" s="746" t="s">
        <v>188</v>
      </c>
      <c r="D1622" s="401"/>
      <c r="E1622" s="394"/>
      <c r="F1622" s="402"/>
      <c r="G1622" s="396"/>
      <c r="H1622" s="395"/>
      <c r="I1622" s="397"/>
      <c r="J1622" s="398"/>
      <c r="K1622" s="603">
        <f t="shared" si="397"/>
        <v>0</v>
      </c>
      <c r="L1622" s="400" t="s">
        <v>755</v>
      </c>
      <c r="M1622" s="30"/>
      <c r="N1622" s="30">
        <v>0</v>
      </c>
      <c r="O1622" s="287">
        <f t="shared" si="400"/>
        <v>0</v>
      </c>
      <c r="P1622" s="287">
        <f t="shared" si="399"/>
        <v>0</v>
      </c>
      <c r="Q1622" s="288"/>
      <c r="R1622" s="243"/>
      <c r="S1622" s="378" t="str">
        <f t="shared" si="396"/>
        <v/>
      </c>
      <c r="U1622" s="722"/>
    </row>
    <row r="1623" spans="2:21" hidden="1" x14ac:dyDescent="0.2">
      <c r="B1623" s="609" t="s">
        <v>188</v>
      </c>
      <c r="C1623" s="746" t="s">
        <v>188</v>
      </c>
      <c r="D1623" s="401"/>
      <c r="E1623" s="394"/>
      <c r="F1623" s="402"/>
      <c r="G1623" s="396"/>
      <c r="H1623" s="395"/>
      <c r="I1623" s="397"/>
      <c r="J1623" s="398"/>
      <c r="K1623" s="603">
        <f t="shared" si="397"/>
        <v>0</v>
      </c>
      <c r="L1623" s="400" t="s">
        <v>755</v>
      </c>
      <c r="M1623" s="30"/>
      <c r="N1623" s="30">
        <v>0</v>
      </c>
      <c r="O1623" s="287">
        <f t="shared" si="400"/>
        <v>0</v>
      </c>
      <c r="P1623" s="287">
        <f t="shared" si="399"/>
        <v>0</v>
      </c>
      <c r="Q1623" s="288"/>
      <c r="R1623" s="243"/>
      <c r="S1623" s="378" t="str">
        <f t="shared" si="396"/>
        <v/>
      </c>
      <c r="U1623" s="722"/>
    </row>
    <row r="1624" spans="2:21" hidden="1" x14ac:dyDescent="0.2">
      <c r="B1624" s="609" t="s">
        <v>188</v>
      </c>
      <c r="C1624" s="746" t="s">
        <v>188</v>
      </c>
      <c r="D1624" s="401"/>
      <c r="E1624" s="394"/>
      <c r="F1624" s="402"/>
      <c r="G1624" s="396"/>
      <c r="H1624" s="395"/>
      <c r="I1624" s="397"/>
      <c r="J1624" s="398"/>
      <c r="K1624" s="603">
        <f t="shared" si="397"/>
        <v>0</v>
      </c>
      <c r="L1624" s="400" t="s">
        <v>755</v>
      </c>
      <c r="M1624" s="30"/>
      <c r="N1624" s="30">
        <v>0</v>
      </c>
      <c r="O1624" s="287">
        <f t="shared" si="400"/>
        <v>0</v>
      </c>
      <c r="P1624" s="287">
        <f t="shared" si="399"/>
        <v>0</v>
      </c>
      <c r="Q1624" s="288"/>
      <c r="R1624" s="243"/>
      <c r="S1624" s="378" t="str">
        <f t="shared" si="396"/>
        <v/>
      </c>
      <c r="U1624" s="722"/>
    </row>
    <row r="1625" spans="2:21" hidden="1" x14ac:dyDescent="0.2">
      <c r="B1625" s="609" t="s">
        <v>188</v>
      </c>
      <c r="C1625" s="746" t="s">
        <v>188</v>
      </c>
      <c r="D1625" s="401"/>
      <c r="E1625" s="394"/>
      <c r="F1625" s="402"/>
      <c r="G1625" s="396"/>
      <c r="H1625" s="395"/>
      <c r="I1625" s="397"/>
      <c r="J1625" s="398"/>
      <c r="K1625" s="603">
        <f t="shared" si="397"/>
        <v>0</v>
      </c>
      <c r="L1625" s="400" t="s">
        <v>755</v>
      </c>
      <c r="M1625" s="30"/>
      <c r="N1625" s="30">
        <v>0</v>
      </c>
      <c r="O1625" s="287">
        <f t="shared" si="400"/>
        <v>0</v>
      </c>
      <c r="P1625" s="287">
        <f t="shared" si="399"/>
        <v>0</v>
      </c>
      <c r="Q1625" s="288"/>
      <c r="R1625" s="243"/>
      <c r="S1625" s="378" t="str">
        <f t="shared" si="396"/>
        <v/>
      </c>
      <c r="U1625" s="722"/>
    </row>
    <row r="1626" spans="2:21" hidden="1" x14ac:dyDescent="0.2">
      <c r="B1626" s="609" t="s">
        <v>188</v>
      </c>
      <c r="C1626" s="746" t="s">
        <v>188</v>
      </c>
      <c r="D1626" s="401"/>
      <c r="E1626" s="394"/>
      <c r="F1626" s="402"/>
      <c r="G1626" s="396"/>
      <c r="H1626" s="395"/>
      <c r="I1626" s="397"/>
      <c r="J1626" s="398"/>
      <c r="K1626" s="603">
        <f t="shared" si="397"/>
        <v>0</v>
      </c>
      <c r="L1626" s="400" t="s">
        <v>755</v>
      </c>
      <c r="M1626" s="30"/>
      <c r="N1626" s="30">
        <v>0</v>
      </c>
      <c r="O1626" s="287">
        <f t="shared" si="400"/>
        <v>0</v>
      </c>
      <c r="P1626" s="287">
        <f t="shared" si="399"/>
        <v>0</v>
      </c>
      <c r="Q1626" s="288"/>
      <c r="R1626" s="243"/>
      <c r="S1626" s="378" t="str">
        <f t="shared" si="396"/>
        <v/>
      </c>
      <c r="U1626" s="722"/>
    </row>
    <row r="1627" spans="2:21" hidden="1" x14ac:dyDescent="0.2">
      <c r="B1627" s="609" t="s">
        <v>188</v>
      </c>
      <c r="C1627" s="746" t="s">
        <v>188</v>
      </c>
      <c r="D1627" s="401"/>
      <c r="E1627" s="394"/>
      <c r="F1627" s="402"/>
      <c r="G1627" s="396"/>
      <c r="H1627" s="395"/>
      <c r="I1627" s="397"/>
      <c r="J1627" s="398"/>
      <c r="K1627" s="603">
        <f t="shared" si="397"/>
        <v>0</v>
      </c>
      <c r="L1627" s="400" t="s">
        <v>755</v>
      </c>
      <c r="M1627" s="30"/>
      <c r="N1627" s="30">
        <v>0</v>
      </c>
      <c r="O1627" s="287">
        <f t="shared" si="400"/>
        <v>0</v>
      </c>
      <c r="P1627" s="287">
        <f t="shared" si="399"/>
        <v>0</v>
      </c>
      <c r="Q1627" s="288"/>
      <c r="R1627" s="243"/>
      <c r="S1627" s="378" t="str">
        <f t="shared" si="396"/>
        <v/>
      </c>
      <c r="U1627" s="722"/>
    </row>
    <row r="1628" spans="2:21" hidden="1" x14ac:dyDescent="0.2">
      <c r="B1628" s="609" t="s">
        <v>188</v>
      </c>
      <c r="C1628" s="746" t="s">
        <v>188</v>
      </c>
      <c r="D1628" s="401"/>
      <c r="E1628" s="394"/>
      <c r="F1628" s="402"/>
      <c r="G1628" s="396"/>
      <c r="H1628" s="395"/>
      <c r="I1628" s="397"/>
      <c r="J1628" s="398"/>
      <c r="K1628" s="603">
        <f t="shared" si="397"/>
        <v>0</v>
      </c>
      <c r="L1628" s="400" t="s">
        <v>755</v>
      </c>
      <c r="M1628" s="30"/>
      <c r="N1628" s="30">
        <v>0</v>
      </c>
      <c r="O1628" s="287">
        <f t="shared" si="400"/>
        <v>0</v>
      </c>
      <c r="P1628" s="287">
        <f t="shared" si="399"/>
        <v>0</v>
      </c>
      <c r="Q1628" s="288"/>
      <c r="R1628" s="243"/>
      <c r="S1628" s="378" t="str">
        <f t="shared" si="396"/>
        <v/>
      </c>
      <c r="U1628" s="722"/>
    </row>
    <row r="1629" spans="2:21" hidden="1" x14ac:dyDescent="0.2">
      <c r="B1629" s="609" t="s">
        <v>188</v>
      </c>
      <c r="C1629" s="746" t="s">
        <v>188</v>
      </c>
      <c r="D1629" s="401"/>
      <c r="E1629" s="394"/>
      <c r="F1629" s="402"/>
      <c r="G1629" s="396"/>
      <c r="H1629" s="395"/>
      <c r="I1629" s="397"/>
      <c r="J1629" s="398"/>
      <c r="K1629" s="603">
        <f t="shared" si="397"/>
        <v>0</v>
      </c>
      <c r="L1629" s="400" t="s">
        <v>755</v>
      </c>
      <c r="M1629" s="30"/>
      <c r="N1629" s="30">
        <v>0</v>
      </c>
      <c r="O1629" s="287">
        <f t="shared" si="400"/>
        <v>0</v>
      </c>
      <c r="P1629" s="287">
        <f t="shared" si="399"/>
        <v>0</v>
      </c>
      <c r="Q1629" s="288"/>
      <c r="R1629" s="243"/>
      <c r="S1629" s="378" t="str">
        <f t="shared" si="396"/>
        <v/>
      </c>
      <c r="U1629" s="722"/>
    </row>
    <row r="1630" spans="2:21" hidden="1" x14ac:dyDescent="0.2">
      <c r="B1630" s="609" t="s">
        <v>188</v>
      </c>
      <c r="C1630" s="746" t="s">
        <v>188</v>
      </c>
      <c r="D1630" s="401"/>
      <c r="E1630" s="394"/>
      <c r="F1630" s="402"/>
      <c r="G1630" s="396"/>
      <c r="H1630" s="395"/>
      <c r="I1630" s="397"/>
      <c r="J1630" s="398"/>
      <c r="K1630" s="603">
        <f t="shared" si="397"/>
        <v>0</v>
      </c>
      <c r="L1630" s="400" t="s">
        <v>755</v>
      </c>
      <c r="M1630" s="30"/>
      <c r="N1630" s="30">
        <v>0</v>
      </c>
      <c r="O1630" s="287">
        <f t="shared" si="400"/>
        <v>0</v>
      </c>
      <c r="P1630" s="287">
        <f t="shared" si="399"/>
        <v>0</v>
      </c>
      <c r="Q1630" s="288"/>
      <c r="R1630" s="243"/>
      <c r="S1630" s="378" t="str">
        <f t="shared" si="396"/>
        <v/>
      </c>
      <c r="U1630" s="722"/>
    </row>
    <row r="1631" spans="2:21" hidden="1" x14ac:dyDescent="0.2">
      <c r="B1631" s="609" t="s">
        <v>188</v>
      </c>
      <c r="C1631" s="746" t="s">
        <v>188</v>
      </c>
      <c r="D1631" s="401"/>
      <c r="E1631" s="394"/>
      <c r="F1631" s="402"/>
      <c r="G1631" s="396"/>
      <c r="H1631" s="395"/>
      <c r="I1631" s="397"/>
      <c r="J1631" s="398"/>
      <c r="K1631" s="603">
        <f t="shared" si="397"/>
        <v>0</v>
      </c>
      <c r="L1631" s="400" t="s">
        <v>755</v>
      </c>
      <c r="M1631" s="30"/>
      <c r="N1631" s="30">
        <v>0</v>
      </c>
      <c r="O1631" s="287">
        <f t="shared" si="400"/>
        <v>0</v>
      </c>
      <c r="P1631" s="287">
        <f t="shared" si="399"/>
        <v>0</v>
      </c>
      <c r="Q1631" s="288"/>
      <c r="R1631" s="243"/>
      <c r="S1631" s="378" t="str">
        <f t="shared" si="396"/>
        <v/>
      </c>
      <c r="U1631" s="722"/>
    </row>
    <row r="1632" spans="2:21" hidden="1" x14ac:dyDescent="0.2">
      <c r="B1632" s="609" t="s">
        <v>188</v>
      </c>
      <c r="C1632" s="746" t="s">
        <v>188</v>
      </c>
      <c r="D1632" s="401"/>
      <c r="E1632" s="394"/>
      <c r="F1632" s="402"/>
      <c r="G1632" s="396"/>
      <c r="H1632" s="395"/>
      <c r="I1632" s="397"/>
      <c r="J1632" s="398"/>
      <c r="K1632" s="603">
        <f t="shared" si="397"/>
        <v>0</v>
      </c>
      <c r="L1632" s="400" t="s">
        <v>755</v>
      </c>
      <c r="M1632" s="30"/>
      <c r="N1632" s="30">
        <v>0</v>
      </c>
      <c r="O1632" s="287">
        <f t="shared" si="400"/>
        <v>0</v>
      </c>
      <c r="P1632" s="287">
        <f t="shared" si="399"/>
        <v>0</v>
      </c>
      <c r="Q1632" s="288"/>
      <c r="R1632" s="243"/>
      <c r="S1632" s="378" t="str">
        <f t="shared" si="396"/>
        <v/>
      </c>
      <c r="U1632" s="722"/>
    </row>
    <row r="1633" spans="2:21" hidden="1" x14ac:dyDescent="0.2">
      <c r="B1633" s="609" t="s">
        <v>188</v>
      </c>
      <c r="C1633" s="746" t="s">
        <v>188</v>
      </c>
      <c r="D1633" s="401"/>
      <c r="E1633" s="394"/>
      <c r="F1633" s="402"/>
      <c r="G1633" s="396"/>
      <c r="H1633" s="395"/>
      <c r="I1633" s="397"/>
      <c r="J1633" s="398"/>
      <c r="K1633" s="603">
        <f t="shared" si="397"/>
        <v>0</v>
      </c>
      <c r="L1633" s="400" t="s">
        <v>755</v>
      </c>
      <c r="M1633" s="30"/>
      <c r="N1633" s="30">
        <v>0</v>
      </c>
      <c r="O1633" s="287">
        <f t="shared" si="400"/>
        <v>0</v>
      </c>
      <c r="P1633" s="287">
        <f t="shared" si="399"/>
        <v>0</v>
      </c>
      <c r="Q1633" s="288"/>
      <c r="R1633" s="243"/>
      <c r="S1633" s="378" t="str">
        <f t="shared" si="396"/>
        <v/>
      </c>
      <c r="U1633" s="722"/>
    </row>
    <row r="1634" spans="2:21" hidden="1" x14ac:dyDescent="0.2">
      <c r="B1634" s="609" t="s">
        <v>188</v>
      </c>
      <c r="C1634" s="746" t="s">
        <v>188</v>
      </c>
      <c r="D1634" s="401"/>
      <c r="E1634" s="394"/>
      <c r="F1634" s="402"/>
      <c r="G1634" s="396"/>
      <c r="H1634" s="395"/>
      <c r="I1634" s="397"/>
      <c r="J1634" s="398"/>
      <c r="K1634" s="603">
        <f t="shared" si="397"/>
        <v>0</v>
      </c>
      <c r="L1634" s="400" t="s">
        <v>755</v>
      </c>
      <c r="M1634" s="30"/>
      <c r="N1634" s="30">
        <v>0</v>
      </c>
      <c r="O1634" s="287">
        <f t="shared" si="400"/>
        <v>0</v>
      </c>
      <c r="P1634" s="287">
        <f t="shared" si="399"/>
        <v>0</v>
      </c>
      <c r="Q1634" s="288"/>
      <c r="R1634" s="243"/>
      <c r="S1634" s="378" t="str">
        <f t="shared" si="396"/>
        <v/>
      </c>
      <c r="U1634" s="722"/>
    </row>
    <row r="1635" spans="2:21" hidden="1" x14ac:dyDescent="0.2">
      <c r="B1635" s="609" t="s">
        <v>188</v>
      </c>
      <c r="C1635" s="746" t="s">
        <v>188</v>
      </c>
      <c r="D1635" s="401"/>
      <c r="E1635" s="394"/>
      <c r="F1635" s="402"/>
      <c r="G1635" s="396"/>
      <c r="H1635" s="395"/>
      <c r="I1635" s="397"/>
      <c r="J1635" s="398"/>
      <c r="K1635" s="603">
        <f t="shared" si="397"/>
        <v>0</v>
      </c>
      <c r="L1635" s="400" t="s">
        <v>755</v>
      </c>
      <c r="M1635" s="30"/>
      <c r="N1635" s="30">
        <v>0</v>
      </c>
      <c r="O1635" s="287">
        <f t="shared" si="400"/>
        <v>0</v>
      </c>
      <c r="P1635" s="287">
        <f t="shared" si="399"/>
        <v>0</v>
      </c>
      <c r="Q1635" s="288"/>
      <c r="R1635" s="243"/>
      <c r="S1635" s="378" t="str">
        <f t="shared" si="396"/>
        <v/>
      </c>
      <c r="U1635" s="722"/>
    </row>
    <row r="1636" spans="2:21" hidden="1" x14ac:dyDescent="0.2">
      <c r="B1636" s="609" t="s">
        <v>188</v>
      </c>
      <c r="C1636" s="746" t="s">
        <v>188</v>
      </c>
      <c r="D1636" s="401"/>
      <c r="E1636" s="394"/>
      <c r="F1636" s="402"/>
      <c r="G1636" s="396"/>
      <c r="H1636" s="395"/>
      <c r="I1636" s="397"/>
      <c r="J1636" s="398"/>
      <c r="K1636" s="603">
        <f t="shared" si="397"/>
        <v>0</v>
      </c>
      <c r="L1636" s="400" t="s">
        <v>755</v>
      </c>
      <c r="M1636" s="30"/>
      <c r="N1636" s="30">
        <v>0</v>
      </c>
      <c r="O1636" s="287">
        <f t="shared" si="400"/>
        <v>0</v>
      </c>
      <c r="P1636" s="287">
        <f t="shared" si="399"/>
        <v>0</v>
      </c>
      <c r="Q1636" s="288"/>
      <c r="R1636" s="243"/>
      <c r="S1636" s="378" t="str">
        <f t="shared" si="396"/>
        <v/>
      </c>
      <c r="U1636" s="722"/>
    </row>
    <row r="1637" spans="2:21" ht="13.5" hidden="1" thickBot="1" x14ac:dyDescent="0.25">
      <c r="B1637" s="610" t="s">
        <v>188</v>
      </c>
      <c r="C1637" s="747" t="s">
        <v>188</v>
      </c>
      <c r="D1637" s="404"/>
      <c r="E1637" s="405"/>
      <c r="F1637" s="406"/>
      <c r="G1637" s="407"/>
      <c r="H1637" s="408"/>
      <c r="I1637" s="409"/>
      <c r="J1637" s="410"/>
      <c r="K1637" s="604">
        <f t="shared" si="397"/>
        <v>0</v>
      </c>
      <c r="L1637" s="412" t="s">
        <v>755</v>
      </c>
      <c r="M1637" s="30"/>
      <c r="N1637" s="30">
        <v>0</v>
      </c>
      <c r="O1637" s="413">
        <f t="shared" si="400"/>
        <v>0</v>
      </c>
      <c r="P1637" s="413">
        <f t="shared" si="399"/>
        <v>0</v>
      </c>
      <c r="Q1637" s="288"/>
      <c r="R1637" s="243"/>
      <c r="S1637" s="378" t="str">
        <f t="shared" si="396"/>
        <v/>
      </c>
      <c r="U1637" s="722"/>
    </row>
    <row r="1638" spans="2:21" ht="13.5" hidden="1" thickBot="1" x14ac:dyDescent="0.25">
      <c r="B1638" s="611" t="s">
        <v>485</v>
      </c>
      <c r="C1638" s="636"/>
      <c r="D1638" s="637" t="s">
        <v>486</v>
      </c>
      <c r="E1638" s="635"/>
      <c r="F1638" s="626"/>
      <c r="G1638" s="627"/>
      <c r="H1638" s="628"/>
      <c r="I1638" s="605"/>
      <c r="J1638" s="605"/>
      <c r="K1638" s="605"/>
      <c r="L1638" s="376" t="s">
        <v>755</v>
      </c>
      <c r="M1638" s="375"/>
      <c r="N1638" s="376"/>
      <c r="O1638" s="376"/>
      <c r="P1638" s="294"/>
      <c r="Q1638" s="295">
        <f>SUM(P1639:P1732)</f>
        <v>0</v>
      </c>
      <c r="R1638" s="311" t="str">
        <f>IF(Q1638&gt;0,"xy","")</f>
        <v/>
      </c>
      <c r="S1638" s="378" t="str">
        <f t="shared" si="396"/>
        <v/>
      </c>
      <c r="U1638" s="722"/>
    </row>
    <row r="1639" spans="2:21" hidden="1" x14ac:dyDescent="0.2">
      <c r="B1639" s="730">
        <v>850000</v>
      </c>
      <c r="C1639" s="300" t="s">
        <v>207</v>
      </c>
      <c r="D1639" s="383" t="s">
        <v>296</v>
      </c>
      <c r="E1639" s="704"/>
      <c r="F1639" s="671">
        <v>20</v>
      </c>
      <c r="G1639" s="665">
        <v>1.73</v>
      </c>
      <c r="H1639" s="663">
        <f t="shared" ref="H1639" si="401">IF(F1639&lt;=30,(1.05*F1639+2.18)*G1639,((1.05*30+2.18)+0.87*(F1639-30))*G1639)</f>
        <v>40.101399999999998</v>
      </c>
      <c r="I1639" s="380">
        <v>6698.43</v>
      </c>
      <c r="J1639" s="631">
        <f t="shared" ref="J1639:J1644" si="402">IF(ISBLANK(I1639),"",SUM(H1639:I1639))</f>
        <v>6738.5313999999998</v>
      </c>
      <c r="K1639" s="593">
        <f t="shared" ref="K1639:K1699" si="403">IF(ISBLANK(I1639),0,ROUND(J1639*(1+$F$10)*(1+$F$11*E1639),2))</f>
        <v>8541.09</v>
      </c>
      <c r="L1639" s="382" t="s">
        <v>21</v>
      </c>
      <c r="M1639" s="30"/>
      <c r="N1639" s="30">
        <v>8541.09</v>
      </c>
      <c r="O1639" s="287">
        <f t="shared" ref="O1639:O1696" si="404">IF(ISBLANK(M1639),0,ROUND(K1639*M1639,2))</f>
        <v>0</v>
      </c>
      <c r="P1639" s="287">
        <f t="shared" ref="P1639:P1696" si="405">IF(ISBLANK(N1639),0,ROUND(M1639*N1639,2))</f>
        <v>0</v>
      </c>
      <c r="Q1639" s="288"/>
      <c r="R1639" s="243"/>
      <c r="S1639" s="378" t="str">
        <f t="shared" si="396"/>
        <v/>
      </c>
      <c r="U1639" s="722"/>
    </row>
    <row r="1640" spans="2:21" hidden="1" x14ac:dyDescent="0.2">
      <c r="B1640" s="730" t="s">
        <v>2076</v>
      </c>
      <c r="C1640" s="300" t="s">
        <v>207</v>
      </c>
      <c r="D1640" s="383" t="s">
        <v>278</v>
      </c>
      <c r="E1640" s="704"/>
      <c r="F1640" s="661"/>
      <c r="G1640" s="665"/>
      <c r="H1640" s="664">
        <f>IF(F1640&lt;=30,(0.51*F1640+4.28)*G1640,((0.51*30+4.28)+0.42*(F1640-30))*G1640)</f>
        <v>0</v>
      </c>
      <c r="I1640" s="380">
        <v>17.82</v>
      </c>
      <c r="J1640" s="631">
        <f t="shared" si="402"/>
        <v>17.82</v>
      </c>
      <c r="K1640" s="593">
        <f t="shared" si="403"/>
        <v>22.59</v>
      </c>
      <c r="L1640" s="382" t="s">
        <v>23</v>
      </c>
      <c r="M1640" s="30"/>
      <c r="N1640" s="30">
        <v>22.59</v>
      </c>
      <c r="O1640" s="287">
        <f t="shared" si="404"/>
        <v>0</v>
      </c>
      <c r="P1640" s="287">
        <f t="shared" si="405"/>
        <v>0</v>
      </c>
      <c r="Q1640" s="288"/>
      <c r="R1640" s="243"/>
      <c r="S1640" s="378" t="str">
        <f t="shared" si="396"/>
        <v/>
      </c>
      <c r="U1640" s="722"/>
    </row>
    <row r="1641" spans="2:21" hidden="1" x14ac:dyDescent="0.2">
      <c r="B1641" s="730" t="s">
        <v>2077</v>
      </c>
      <c r="C1641" s="300" t="s">
        <v>207</v>
      </c>
      <c r="D1641" s="383" t="s">
        <v>279</v>
      </c>
      <c r="E1641" s="704"/>
      <c r="F1641" s="661"/>
      <c r="G1641" s="665"/>
      <c r="H1641" s="664">
        <f>IF(F1641=0,0,IF(F1641&lt;=30,(0.7*F1641+1.45)*G1641,((0.7*30+1.45)+0.58*(F1641-30))*G1641))</f>
        <v>0</v>
      </c>
      <c r="I1641" s="380">
        <v>19.93</v>
      </c>
      <c r="J1641" s="631">
        <f t="shared" si="402"/>
        <v>19.93</v>
      </c>
      <c r="K1641" s="593">
        <f t="shared" si="403"/>
        <v>25.26</v>
      </c>
      <c r="L1641" s="382" t="s">
        <v>23</v>
      </c>
      <c r="M1641" s="30"/>
      <c r="N1641" s="30">
        <v>25.26</v>
      </c>
      <c r="O1641" s="287">
        <f t="shared" si="404"/>
        <v>0</v>
      </c>
      <c r="P1641" s="287">
        <f t="shared" si="405"/>
        <v>0</v>
      </c>
      <c r="Q1641" s="288"/>
      <c r="R1641" s="243"/>
      <c r="S1641" s="378" t="str">
        <f t="shared" si="396"/>
        <v/>
      </c>
      <c r="U1641" s="722"/>
    </row>
    <row r="1642" spans="2:21" hidden="1" x14ac:dyDescent="0.2">
      <c r="B1642" s="730" t="s">
        <v>1819</v>
      </c>
      <c r="C1642" s="300" t="s">
        <v>207</v>
      </c>
      <c r="D1642" s="383" t="s">
        <v>337</v>
      </c>
      <c r="E1642" s="704"/>
      <c r="F1642" s="661"/>
      <c r="G1642" s="665"/>
      <c r="H1642" s="664"/>
      <c r="I1642" s="380">
        <v>50.31</v>
      </c>
      <c r="J1642" s="631">
        <f t="shared" si="402"/>
        <v>50.31</v>
      </c>
      <c r="K1642" s="593">
        <f t="shared" si="403"/>
        <v>63.77</v>
      </c>
      <c r="L1642" s="382" t="s">
        <v>16</v>
      </c>
      <c r="M1642" s="30"/>
      <c r="N1642" s="30">
        <v>63.77</v>
      </c>
      <c r="O1642" s="287">
        <f t="shared" si="404"/>
        <v>0</v>
      </c>
      <c r="P1642" s="287">
        <f t="shared" si="405"/>
        <v>0</v>
      </c>
      <c r="Q1642" s="288"/>
      <c r="R1642" s="243"/>
      <c r="S1642" s="378" t="str">
        <f t="shared" si="396"/>
        <v/>
      </c>
      <c r="U1642" s="722"/>
    </row>
    <row r="1643" spans="2:21" hidden="1" x14ac:dyDescent="0.2">
      <c r="B1643" s="730" t="s">
        <v>2078</v>
      </c>
      <c r="C1643" s="300" t="s">
        <v>207</v>
      </c>
      <c r="D1643" s="383" t="s">
        <v>287</v>
      </c>
      <c r="E1643" s="704"/>
      <c r="F1643" s="671">
        <v>0.5</v>
      </c>
      <c r="G1643" s="701">
        <f>1.5*1.4</f>
        <v>2.0999999999999996</v>
      </c>
      <c r="H1643" s="663">
        <f t="shared" ref="H1643:H1646" si="406">IF(F1643&lt;=30,(1.05*F1643+2.18)*G1643,((1.05*30+2.18)+0.87*(F1643-30))*G1643)</f>
        <v>5.6804999999999994</v>
      </c>
      <c r="I1643" s="776">
        <v>12.066000000000001</v>
      </c>
      <c r="J1643" s="631">
        <f t="shared" si="402"/>
        <v>17.746500000000001</v>
      </c>
      <c r="K1643" s="593">
        <f t="shared" si="403"/>
        <v>22.49</v>
      </c>
      <c r="L1643" s="382" t="s">
        <v>16</v>
      </c>
      <c r="M1643" s="30"/>
      <c r="N1643" s="30">
        <v>22.49</v>
      </c>
      <c r="O1643" s="287">
        <f t="shared" si="404"/>
        <v>0</v>
      </c>
      <c r="P1643" s="287">
        <f t="shared" si="405"/>
        <v>0</v>
      </c>
      <c r="Q1643" s="288"/>
      <c r="R1643" s="243"/>
      <c r="S1643" s="378" t="str">
        <f t="shared" si="396"/>
        <v/>
      </c>
      <c r="U1643" s="722"/>
    </row>
    <row r="1644" spans="2:21" hidden="1" x14ac:dyDescent="0.2">
      <c r="B1644" s="730" t="s">
        <v>2079</v>
      </c>
      <c r="C1644" s="300" t="s">
        <v>207</v>
      </c>
      <c r="D1644" s="383" t="s">
        <v>288</v>
      </c>
      <c r="E1644" s="704"/>
      <c r="F1644" s="671">
        <v>15</v>
      </c>
      <c r="G1644" s="701">
        <f>1.5*1.4</f>
        <v>2.0999999999999996</v>
      </c>
      <c r="H1644" s="663">
        <f t="shared" si="406"/>
        <v>37.652999999999992</v>
      </c>
      <c r="I1644" s="776">
        <v>12.066000000000001</v>
      </c>
      <c r="J1644" s="631">
        <f t="shared" si="402"/>
        <v>49.718999999999994</v>
      </c>
      <c r="K1644" s="593">
        <f t="shared" si="403"/>
        <v>63.02</v>
      </c>
      <c r="L1644" s="382" t="s">
        <v>16</v>
      </c>
      <c r="M1644" s="30"/>
      <c r="N1644" s="30">
        <v>63.02</v>
      </c>
      <c r="O1644" s="287">
        <f t="shared" si="404"/>
        <v>0</v>
      </c>
      <c r="P1644" s="287">
        <f t="shared" si="405"/>
        <v>0</v>
      </c>
      <c r="Q1644" s="288"/>
      <c r="R1644" s="243"/>
      <c r="S1644" s="378" t="str">
        <f t="shared" si="396"/>
        <v/>
      </c>
      <c r="U1644" s="722"/>
    </row>
    <row r="1645" spans="2:21" hidden="1" x14ac:dyDescent="0.2">
      <c r="B1645" s="730" t="s">
        <v>2080</v>
      </c>
      <c r="C1645" s="300" t="s">
        <v>207</v>
      </c>
      <c r="D1645" s="417" t="s">
        <v>342</v>
      </c>
      <c r="E1645" s="704"/>
      <c r="F1645" s="661">
        <v>20</v>
      </c>
      <c r="G1645" s="665">
        <v>1.7250000000000001</v>
      </c>
      <c r="H1645" s="663">
        <f t="shared" si="406"/>
        <v>39.985500000000002</v>
      </c>
      <c r="I1645" s="380">
        <v>88.07</v>
      </c>
      <c r="J1645" s="631">
        <f t="shared" ref="J1645:J1647" si="407">IF(ISBLANK(I1645),"",SUM(H1645:I1645))</f>
        <v>128.05549999999999</v>
      </c>
      <c r="K1645" s="593">
        <f t="shared" si="403"/>
        <v>162.31</v>
      </c>
      <c r="L1645" s="382" t="s">
        <v>16</v>
      </c>
      <c r="M1645" s="30"/>
      <c r="N1645" s="30">
        <v>162.31</v>
      </c>
      <c r="O1645" s="287">
        <f t="shared" si="404"/>
        <v>0</v>
      </c>
      <c r="P1645" s="287">
        <f t="shared" si="405"/>
        <v>0</v>
      </c>
      <c r="Q1645" s="288"/>
      <c r="R1645" s="243"/>
      <c r="S1645" s="378" t="str">
        <f t="shared" si="396"/>
        <v/>
      </c>
      <c r="U1645" s="722"/>
    </row>
    <row r="1646" spans="2:21" hidden="1" x14ac:dyDescent="0.2">
      <c r="B1646" s="730" t="s">
        <v>2081</v>
      </c>
      <c r="C1646" s="300" t="s">
        <v>207</v>
      </c>
      <c r="D1646" s="417" t="s">
        <v>343</v>
      </c>
      <c r="E1646" s="704"/>
      <c r="F1646" s="661">
        <v>20</v>
      </c>
      <c r="G1646" s="665">
        <v>1.5</v>
      </c>
      <c r="H1646" s="663">
        <f t="shared" si="406"/>
        <v>34.769999999999996</v>
      </c>
      <c r="I1646" s="380">
        <v>115.86</v>
      </c>
      <c r="J1646" s="631">
        <f t="shared" si="407"/>
        <v>150.63</v>
      </c>
      <c r="K1646" s="593">
        <f t="shared" si="403"/>
        <v>190.92</v>
      </c>
      <c r="L1646" s="382" t="s">
        <v>16</v>
      </c>
      <c r="M1646" s="30"/>
      <c r="N1646" s="30">
        <v>190.92</v>
      </c>
      <c r="O1646" s="287">
        <f t="shared" si="404"/>
        <v>0</v>
      </c>
      <c r="P1646" s="287">
        <f t="shared" si="405"/>
        <v>0</v>
      </c>
      <c r="Q1646" s="288"/>
      <c r="R1646" s="243"/>
      <c r="S1646" s="378" t="str">
        <f t="shared" si="396"/>
        <v/>
      </c>
      <c r="U1646" s="722"/>
    </row>
    <row r="1647" spans="2:21" hidden="1" x14ac:dyDescent="0.2">
      <c r="B1647" s="730" t="s">
        <v>2082</v>
      </c>
      <c r="C1647" s="300" t="s">
        <v>207</v>
      </c>
      <c r="D1647" s="383" t="s">
        <v>275</v>
      </c>
      <c r="E1647" s="704"/>
      <c r="F1647" s="661"/>
      <c r="G1647" s="665"/>
      <c r="H1647" s="664">
        <f>SUM(H1648:H1650)</f>
        <v>257.39480000000003</v>
      </c>
      <c r="I1647" s="380">
        <v>387.28999999999996</v>
      </c>
      <c r="J1647" s="631">
        <f t="shared" si="407"/>
        <v>644.6848</v>
      </c>
      <c r="K1647" s="593">
        <f t="shared" si="403"/>
        <v>817.14</v>
      </c>
      <c r="L1647" s="382" t="s">
        <v>16</v>
      </c>
      <c r="M1647" s="30"/>
      <c r="N1647" s="30">
        <v>817.14</v>
      </c>
      <c r="O1647" s="287">
        <f t="shared" si="404"/>
        <v>0</v>
      </c>
      <c r="P1647" s="287">
        <f t="shared" si="405"/>
        <v>0</v>
      </c>
      <c r="Q1647" s="288"/>
      <c r="R1647" s="243"/>
      <c r="S1647" s="378" t="str">
        <f t="shared" si="396"/>
        <v/>
      </c>
      <c r="U1647" s="722"/>
    </row>
    <row r="1648" spans="2:21" hidden="1" x14ac:dyDescent="0.2">
      <c r="B1648" s="730" t="s">
        <v>168</v>
      </c>
      <c r="C1648" s="300"/>
      <c r="D1648" s="417" t="s">
        <v>213</v>
      </c>
      <c r="E1648" s="777"/>
      <c r="F1648" s="661">
        <v>500</v>
      </c>
      <c r="G1648" s="665">
        <v>0.18</v>
      </c>
      <c r="H1648" s="664">
        <f>IF(F1648&lt;=30,(0.75*F1648+6.29)*G1648,((0.75*30+6.29)+0.62*(F1648-30))*G1648)</f>
        <v>57.6342</v>
      </c>
      <c r="I1648" s="380">
        <v>0</v>
      </c>
      <c r="J1648" s="631"/>
      <c r="K1648" s="593">
        <f t="shared" si="403"/>
        <v>0</v>
      </c>
      <c r="L1648" s="382" t="s">
        <v>16</v>
      </c>
      <c r="M1648" s="30"/>
      <c r="N1648" s="30">
        <v>0</v>
      </c>
      <c r="O1648" s="287">
        <f t="shared" si="404"/>
        <v>0</v>
      </c>
      <c r="P1648" s="287">
        <f t="shared" si="405"/>
        <v>0</v>
      </c>
      <c r="Q1648" s="288"/>
      <c r="R1648" s="243"/>
      <c r="S1648" s="378" t="str">
        <f t="shared" si="396"/>
        <v/>
      </c>
      <c r="U1648" s="722"/>
    </row>
    <row r="1649" spans="2:21" hidden="1" x14ac:dyDescent="0.2">
      <c r="B1649" s="730" t="s">
        <v>168</v>
      </c>
      <c r="C1649" s="300"/>
      <c r="D1649" s="417" t="s">
        <v>249</v>
      </c>
      <c r="E1649" s="777"/>
      <c r="F1649" s="661">
        <v>180</v>
      </c>
      <c r="G1649" s="665">
        <v>1.06</v>
      </c>
      <c r="H1649" s="663">
        <f t="shared" ref="H1649:H1654" si="408">IF(F1649&lt;=30,(1.05*F1649+2.18)*G1649,((1.05*30+2.18)+0.87*(F1649-30))*G1649)</f>
        <v>174.03080000000003</v>
      </c>
      <c r="I1649" s="380">
        <v>0</v>
      </c>
      <c r="J1649" s="631"/>
      <c r="K1649" s="593">
        <f t="shared" si="403"/>
        <v>0</v>
      </c>
      <c r="L1649" s="382" t="s">
        <v>16</v>
      </c>
      <c r="M1649" s="30"/>
      <c r="N1649" s="30">
        <v>0</v>
      </c>
      <c r="O1649" s="287">
        <f t="shared" si="404"/>
        <v>0</v>
      </c>
      <c r="P1649" s="287">
        <f t="shared" si="405"/>
        <v>0</v>
      </c>
      <c r="Q1649" s="288"/>
      <c r="R1649" s="243"/>
      <c r="S1649" s="378" t="str">
        <f t="shared" si="396"/>
        <v/>
      </c>
      <c r="U1649" s="722"/>
    </row>
    <row r="1650" spans="2:21" hidden="1" x14ac:dyDescent="0.2">
      <c r="B1650" s="730" t="s">
        <v>168</v>
      </c>
      <c r="C1650" s="300"/>
      <c r="D1650" s="417" t="s">
        <v>253</v>
      </c>
      <c r="E1650" s="777"/>
      <c r="F1650" s="661">
        <v>20</v>
      </c>
      <c r="G1650" s="665">
        <v>1.1100000000000001</v>
      </c>
      <c r="H1650" s="663">
        <f t="shared" si="408"/>
        <v>25.729800000000001</v>
      </c>
      <c r="I1650" s="380">
        <v>0</v>
      </c>
      <c r="J1650" s="631"/>
      <c r="K1650" s="593">
        <f t="shared" si="403"/>
        <v>0</v>
      </c>
      <c r="L1650" s="382" t="s">
        <v>16</v>
      </c>
      <c r="M1650" s="30"/>
      <c r="N1650" s="30">
        <v>0</v>
      </c>
      <c r="O1650" s="287">
        <f t="shared" si="404"/>
        <v>0</v>
      </c>
      <c r="P1650" s="287">
        <f t="shared" si="405"/>
        <v>0</v>
      </c>
      <c r="Q1650" s="288"/>
      <c r="R1650" s="243"/>
      <c r="S1650" s="378" t="str">
        <f t="shared" si="396"/>
        <v/>
      </c>
      <c r="U1650" s="722"/>
    </row>
    <row r="1651" spans="2:21" hidden="1" x14ac:dyDescent="0.2">
      <c r="B1651" s="730" t="s">
        <v>2083</v>
      </c>
      <c r="C1651" s="300" t="s">
        <v>207</v>
      </c>
      <c r="D1651" s="383" t="s">
        <v>1800</v>
      </c>
      <c r="E1651" s="704"/>
      <c r="F1651" s="661">
        <v>20</v>
      </c>
      <c r="G1651" s="665">
        <v>1.73</v>
      </c>
      <c r="H1651" s="663">
        <f t="shared" si="408"/>
        <v>40.101399999999998</v>
      </c>
      <c r="I1651" s="380">
        <v>70.86999999999999</v>
      </c>
      <c r="J1651" s="631">
        <f t="shared" ref="J1651:J1653" si="409">IF(ISBLANK(I1651),"",SUM(H1651:I1651))</f>
        <v>110.97139999999999</v>
      </c>
      <c r="K1651" s="593">
        <f t="shared" si="403"/>
        <v>140.66</v>
      </c>
      <c r="L1651" s="382" t="s">
        <v>16</v>
      </c>
      <c r="M1651" s="30"/>
      <c r="N1651" s="30">
        <v>140.66</v>
      </c>
      <c r="O1651" s="287">
        <f t="shared" si="404"/>
        <v>0</v>
      </c>
      <c r="P1651" s="287">
        <f t="shared" si="405"/>
        <v>0</v>
      </c>
      <c r="Q1651" s="288"/>
      <c r="R1651" s="243"/>
      <c r="S1651" s="378" t="str">
        <f t="shared" si="396"/>
        <v/>
      </c>
      <c r="U1651" s="722"/>
    </row>
    <row r="1652" spans="2:21" hidden="1" x14ac:dyDescent="0.2">
      <c r="B1652" s="730" t="s">
        <v>2084</v>
      </c>
      <c r="C1652" s="300" t="s">
        <v>207</v>
      </c>
      <c r="D1652" s="383" t="s">
        <v>1801</v>
      </c>
      <c r="E1652" s="704"/>
      <c r="F1652" s="661">
        <v>20</v>
      </c>
      <c r="G1652" s="665">
        <v>1.7250000000000001</v>
      </c>
      <c r="H1652" s="663">
        <f t="shared" si="408"/>
        <v>39.985500000000002</v>
      </c>
      <c r="I1652" s="380">
        <v>88.07</v>
      </c>
      <c r="J1652" s="631">
        <f t="shared" si="409"/>
        <v>128.05549999999999</v>
      </c>
      <c r="K1652" s="593">
        <f t="shared" si="403"/>
        <v>162.31</v>
      </c>
      <c r="L1652" s="382" t="s">
        <v>16</v>
      </c>
      <c r="M1652" s="30"/>
      <c r="N1652" s="30">
        <v>162.31</v>
      </c>
      <c r="O1652" s="287">
        <f t="shared" si="404"/>
        <v>0</v>
      </c>
      <c r="P1652" s="287">
        <f t="shared" si="405"/>
        <v>0</v>
      </c>
      <c r="Q1652" s="288"/>
      <c r="R1652" s="243"/>
      <c r="S1652" s="378" t="str">
        <f t="shared" si="396"/>
        <v/>
      </c>
      <c r="U1652" s="722"/>
    </row>
    <row r="1653" spans="2:21" hidden="1" x14ac:dyDescent="0.2">
      <c r="B1653" s="730" t="s">
        <v>2085</v>
      </c>
      <c r="C1653" s="300" t="s">
        <v>207</v>
      </c>
      <c r="D1653" s="383" t="s">
        <v>1802</v>
      </c>
      <c r="E1653" s="704"/>
      <c r="F1653" s="671">
        <v>15</v>
      </c>
      <c r="G1653" s="665">
        <f>ROUND(1.5*1.5,4)</f>
        <v>2.25</v>
      </c>
      <c r="H1653" s="663">
        <f t="shared" si="408"/>
        <v>40.342500000000001</v>
      </c>
      <c r="I1653" s="380">
        <v>14.866666666666667</v>
      </c>
      <c r="J1653" s="631">
        <f t="shared" si="409"/>
        <v>55.209166666666668</v>
      </c>
      <c r="K1653" s="593">
        <f t="shared" si="403"/>
        <v>69.98</v>
      </c>
      <c r="L1653" s="382" t="s">
        <v>16</v>
      </c>
      <c r="M1653" s="30"/>
      <c r="N1653" s="30">
        <v>69.98</v>
      </c>
      <c r="O1653" s="287">
        <f t="shared" si="404"/>
        <v>0</v>
      </c>
      <c r="P1653" s="287">
        <f t="shared" si="405"/>
        <v>0</v>
      </c>
      <c r="Q1653" s="288"/>
      <c r="R1653" s="243"/>
      <c r="S1653" s="378" t="str">
        <f t="shared" si="396"/>
        <v/>
      </c>
      <c r="U1653" s="722"/>
    </row>
    <row r="1654" spans="2:21" hidden="1" x14ac:dyDescent="0.2">
      <c r="B1654" s="730" t="s">
        <v>2086</v>
      </c>
      <c r="C1654" s="300" t="s">
        <v>207</v>
      </c>
      <c r="D1654" s="383" t="s">
        <v>1803</v>
      </c>
      <c r="E1654" s="704"/>
      <c r="F1654" s="661">
        <v>20</v>
      </c>
      <c r="G1654" s="665">
        <v>1.5</v>
      </c>
      <c r="H1654" s="663">
        <f t="shared" si="408"/>
        <v>34.769999999999996</v>
      </c>
      <c r="I1654" s="380">
        <v>115.86</v>
      </c>
      <c r="J1654" s="631">
        <f>IF(ISBLANK(I1654),"",SUM(H1654:I1654))</f>
        <v>150.63</v>
      </c>
      <c r="K1654" s="593">
        <f t="shared" si="403"/>
        <v>190.92</v>
      </c>
      <c r="L1654" s="382" t="s">
        <v>16</v>
      </c>
      <c r="M1654" s="30"/>
      <c r="N1654" s="30">
        <v>190.92</v>
      </c>
      <c r="O1654" s="287">
        <f t="shared" si="404"/>
        <v>0</v>
      </c>
      <c r="P1654" s="287">
        <f t="shared" si="405"/>
        <v>0</v>
      </c>
      <c r="Q1654" s="288"/>
      <c r="R1654" s="243"/>
      <c r="S1654" s="378" t="str">
        <f t="shared" si="396"/>
        <v/>
      </c>
      <c r="U1654" s="722"/>
    </row>
    <row r="1655" spans="2:21" hidden="1" x14ac:dyDescent="0.2">
      <c r="B1655" s="730" t="s">
        <v>2087</v>
      </c>
      <c r="C1655" s="300" t="s">
        <v>207</v>
      </c>
      <c r="D1655" s="383" t="s">
        <v>350</v>
      </c>
      <c r="E1655" s="704"/>
      <c r="F1655" s="661"/>
      <c r="G1655" s="665"/>
      <c r="H1655" s="664">
        <f>SUM(H1656:H1658)</f>
        <v>257.39480000000003</v>
      </c>
      <c r="I1655" s="380">
        <v>387.28999999999996</v>
      </c>
      <c r="J1655" s="631">
        <f>IF(ISBLANK(I1655),"",SUM(H1655:I1655))</f>
        <v>644.6848</v>
      </c>
      <c r="K1655" s="593">
        <f t="shared" si="403"/>
        <v>817.14</v>
      </c>
      <c r="L1655" s="382" t="s">
        <v>16</v>
      </c>
      <c r="M1655" s="30"/>
      <c r="N1655" s="30">
        <v>817.14</v>
      </c>
      <c r="O1655" s="287">
        <f t="shared" si="404"/>
        <v>0</v>
      </c>
      <c r="P1655" s="287">
        <f t="shared" si="405"/>
        <v>0</v>
      </c>
      <c r="Q1655" s="288"/>
      <c r="R1655" s="243"/>
      <c r="S1655" s="378" t="str">
        <f t="shared" si="396"/>
        <v/>
      </c>
      <c r="U1655" s="722"/>
    </row>
    <row r="1656" spans="2:21" hidden="1" x14ac:dyDescent="0.2">
      <c r="B1656" s="730" t="s">
        <v>168</v>
      </c>
      <c r="C1656" s="300"/>
      <c r="D1656" s="417" t="s">
        <v>213</v>
      </c>
      <c r="E1656" s="704"/>
      <c r="F1656" s="661">
        <v>500</v>
      </c>
      <c r="G1656" s="665">
        <v>0.18</v>
      </c>
      <c r="H1656" s="664">
        <f>IF(F1656&lt;=30,(0.75*F1656+6.29)*G1656,((0.75*30+6.29)+0.62*(F1656-30))*G1656)</f>
        <v>57.6342</v>
      </c>
      <c r="I1656" s="380">
        <v>0</v>
      </c>
      <c r="J1656" s="631"/>
      <c r="K1656" s="593">
        <f t="shared" si="403"/>
        <v>0</v>
      </c>
      <c r="L1656" s="427" t="s">
        <v>755</v>
      </c>
      <c r="M1656" s="418"/>
      <c r="N1656" s="419">
        <v>0</v>
      </c>
      <c r="O1656" s="287">
        <f t="shared" si="404"/>
        <v>0</v>
      </c>
      <c r="P1656" s="287">
        <f t="shared" si="405"/>
        <v>0</v>
      </c>
      <c r="Q1656" s="288"/>
      <c r="R1656" s="311" t="str">
        <f>IF(P1655&gt;0,"xy","")</f>
        <v/>
      </c>
      <c r="S1656" s="378" t="str">
        <f t="shared" si="396"/>
        <v/>
      </c>
      <c r="U1656" s="722"/>
    </row>
    <row r="1657" spans="2:21" hidden="1" x14ac:dyDescent="0.2">
      <c r="B1657" s="730" t="s">
        <v>168</v>
      </c>
      <c r="C1657" s="300"/>
      <c r="D1657" s="417" t="s">
        <v>249</v>
      </c>
      <c r="E1657" s="704"/>
      <c r="F1657" s="661">
        <v>180</v>
      </c>
      <c r="G1657" s="665">
        <v>1.06</v>
      </c>
      <c r="H1657" s="663">
        <f t="shared" ref="H1657:H1658" si="410">IF(F1657&lt;=30,(1.05*F1657+2.18)*G1657,((1.05*30+2.18)+0.87*(F1657-30))*G1657)</f>
        <v>174.03080000000003</v>
      </c>
      <c r="I1657" s="380">
        <v>0</v>
      </c>
      <c r="J1657" s="631"/>
      <c r="K1657" s="593">
        <f t="shared" si="403"/>
        <v>0</v>
      </c>
      <c r="L1657" s="427" t="s">
        <v>755</v>
      </c>
      <c r="M1657" s="418"/>
      <c r="N1657" s="419">
        <v>0</v>
      </c>
      <c r="O1657" s="287">
        <f t="shared" si="404"/>
        <v>0</v>
      </c>
      <c r="P1657" s="287">
        <f t="shared" si="405"/>
        <v>0</v>
      </c>
      <c r="Q1657" s="288"/>
      <c r="R1657" s="311" t="str">
        <f>IF(P1655&gt;0,"xy","")</f>
        <v/>
      </c>
      <c r="S1657" s="378" t="str">
        <f t="shared" si="396"/>
        <v/>
      </c>
      <c r="U1657" s="722"/>
    </row>
    <row r="1658" spans="2:21" hidden="1" x14ac:dyDescent="0.2">
      <c r="B1658" s="730" t="s">
        <v>168</v>
      </c>
      <c r="C1658" s="300"/>
      <c r="D1658" s="417" t="s">
        <v>253</v>
      </c>
      <c r="E1658" s="704"/>
      <c r="F1658" s="661">
        <v>20</v>
      </c>
      <c r="G1658" s="665">
        <v>1.1100000000000001</v>
      </c>
      <c r="H1658" s="663">
        <f t="shared" si="410"/>
        <v>25.729800000000001</v>
      </c>
      <c r="I1658" s="380">
        <v>0</v>
      </c>
      <c r="J1658" s="631"/>
      <c r="K1658" s="593">
        <f t="shared" si="403"/>
        <v>0</v>
      </c>
      <c r="L1658" s="427" t="s">
        <v>755</v>
      </c>
      <c r="M1658" s="418"/>
      <c r="N1658" s="419">
        <v>0</v>
      </c>
      <c r="O1658" s="287">
        <f t="shared" si="404"/>
        <v>0</v>
      </c>
      <c r="P1658" s="287">
        <f t="shared" si="405"/>
        <v>0</v>
      </c>
      <c r="Q1658" s="288"/>
      <c r="R1658" s="311" t="str">
        <f>IF(P1655&gt;0,"xy","")</f>
        <v/>
      </c>
      <c r="S1658" s="378" t="str">
        <f t="shared" si="396"/>
        <v/>
      </c>
      <c r="U1658" s="722"/>
    </row>
    <row r="1659" spans="2:21" hidden="1" x14ac:dyDescent="0.2">
      <c r="B1659" s="730" t="s">
        <v>1833</v>
      </c>
      <c r="C1659" s="300" t="s">
        <v>207</v>
      </c>
      <c r="D1659" s="383" t="s">
        <v>351</v>
      </c>
      <c r="E1659" s="704"/>
      <c r="F1659" s="661"/>
      <c r="G1659" s="665"/>
      <c r="H1659" s="664">
        <f>SUM(H1660:H1662)</f>
        <v>199.28673000000001</v>
      </c>
      <c r="I1659" s="380">
        <v>345.21999999999997</v>
      </c>
      <c r="J1659" s="631">
        <f>IF(ISBLANK(I1659),"",SUM(H1659:I1659))</f>
        <v>544.50672999999995</v>
      </c>
      <c r="K1659" s="593">
        <f t="shared" si="403"/>
        <v>690.16</v>
      </c>
      <c r="L1659" s="382" t="s">
        <v>16</v>
      </c>
      <c r="M1659" s="30"/>
      <c r="N1659" s="30">
        <v>690.16</v>
      </c>
      <c r="O1659" s="287">
        <f t="shared" si="404"/>
        <v>0</v>
      </c>
      <c r="P1659" s="287">
        <f t="shared" si="405"/>
        <v>0</v>
      </c>
      <c r="Q1659" s="288"/>
      <c r="R1659" s="243"/>
      <c r="S1659" s="378" t="str">
        <f t="shared" ref="S1659:S1718" si="411">IF(R1659="x","x",IF(R1659="y","x",IF(R1659="xy","x",IF(P1659&gt;0,"x",""))))</f>
        <v/>
      </c>
      <c r="U1659" s="722"/>
    </row>
    <row r="1660" spans="2:21" hidden="1" x14ac:dyDescent="0.2">
      <c r="B1660" s="730" t="s">
        <v>168</v>
      </c>
      <c r="C1660" s="300"/>
      <c r="D1660" s="417" t="s">
        <v>213</v>
      </c>
      <c r="E1660" s="704"/>
      <c r="F1660" s="661">
        <v>500</v>
      </c>
      <c r="G1660" s="665">
        <v>0.189</v>
      </c>
      <c r="H1660" s="664">
        <f>IF(F1660&lt;=30,(0.75*F1660+6.29)*G1660,((0.75*30+6.29)+0.62*(F1660-30))*G1660)</f>
        <v>60.515909999999998</v>
      </c>
      <c r="I1660" s="380">
        <v>0</v>
      </c>
      <c r="J1660" s="631"/>
      <c r="K1660" s="593">
        <f t="shared" si="403"/>
        <v>0</v>
      </c>
      <c r="L1660" s="427" t="s">
        <v>755</v>
      </c>
      <c r="M1660" s="418"/>
      <c r="N1660" s="419">
        <v>0</v>
      </c>
      <c r="O1660" s="287">
        <f t="shared" si="404"/>
        <v>0</v>
      </c>
      <c r="P1660" s="287">
        <f t="shared" si="405"/>
        <v>0</v>
      </c>
      <c r="Q1660" s="288"/>
      <c r="R1660" s="311" t="str">
        <f>IF(P1659&gt;0,"xy","")</f>
        <v/>
      </c>
      <c r="S1660" s="378" t="str">
        <f t="shared" si="411"/>
        <v/>
      </c>
      <c r="U1660" s="722"/>
    </row>
    <row r="1661" spans="2:21" hidden="1" x14ac:dyDescent="0.2">
      <c r="B1661" s="730" t="s">
        <v>168</v>
      </c>
      <c r="C1661" s="300"/>
      <c r="D1661" s="417" t="s">
        <v>249</v>
      </c>
      <c r="E1661" s="704"/>
      <c r="F1661" s="661">
        <v>180</v>
      </c>
      <c r="G1661" s="665">
        <v>0.67200000000000004</v>
      </c>
      <c r="H1661" s="663">
        <f t="shared" ref="H1661:H1662" si="412">IF(F1661&lt;=30,(1.05*F1661+2.18)*G1661,((1.05*30+2.18)+0.87*(F1661-30))*G1661)</f>
        <v>110.32896000000001</v>
      </c>
      <c r="I1661" s="380">
        <v>0</v>
      </c>
      <c r="J1661" s="631"/>
      <c r="K1661" s="593">
        <f t="shared" si="403"/>
        <v>0</v>
      </c>
      <c r="L1661" s="427" t="s">
        <v>755</v>
      </c>
      <c r="M1661" s="418"/>
      <c r="N1661" s="419">
        <v>0</v>
      </c>
      <c r="O1661" s="287">
        <f t="shared" si="404"/>
        <v>0</v>
      </c>
      <c r="P1661" s="287">
        <f t="shared" si="405"/>
        <v>0</v>
      </c>
      <c r="Q1661" s="288"/>
      <c r="R1661" s="311" t="str">
        <f>IF(P1659&gt;0,"xy","")</f>
        <v/>
      </c>
      <c r="S1661" s="378" t="str">
        <f t="shared" si="411"/>
        <v/>
      </c>
      <c r="U1661" s="722"/>
    </row>
    <row r="1662" spans="2:21" hidden="1" x14ac:dyDescent="0.2">
      <c r="B1662" s="730" t="s">
        <v>168</v>
      </c>
      <c r="C1662" s="300"/>
      <c r="D1662" s="417" t="s">
        <v>352</v>
      </c>
      <c r="E1662" s="704"/>
      <c r="F1662" s="661">
        <v>20</v>
      </c>
      <c r="G1662" s="665">
        <v>1.2270000000000001</v>
      </c>
      <c r="H1662" s="663">
        <f t="shared" si="412"/>
        <v>28.441860000000002</v>
      </c>
      <c r="I1662" s="380">
        <v>0</v>
      </c>
      <c r="J1662" s="631"/>
      <c r="K1662" s="593">
        <f t="shared" si="403"/>
        <v>0</v>
      </c>
      <c r="L1662" s="427" t="s">
        <v>755</v>
      </c>
      <c r="M1662" s="418"/>
      <c r="N1662" s="419">
        <v>0</v>
      </c>
      <c r="O1662" s="287">
        <f t="shared" si="404"/>
        <v>0</v>
      </c>
      <c r="P1662" s="287">
        <f t="shared" si="405"/>
        <v>0</v>
      </c>
      <c r="Q1662" s="288"/>
      <c r="R1662" s="311" t="str">
        <f>IF(P1659&gt;0,"xy","")</f>
        <v/>
      </c>
      <c r="S1662" s="378" t="str">
        <f t="shared" si="411"/>
        <v/>
      </c>
      <c r="U1662" s="722"/>
    </row>
    <row r="1663" spans="2:21" hidden="1" x14ac:dyDescent="0.2">
      <c r="B1663" s="730" t="s">
        <v>1835</v>
      </c>
      <c r="C1663" s="300" t="s">
        <v>207</v>
      </c>
      <c r="D1663" s="383" t="s">
        <v>353</v>
      </c>
      <c r="E1663" s="704"/>
      <c r="F1663" s="661"/>
      <c r="G1663" s="665"/>
      <c r="H1663" s="664">
        <f>SUM(H1664:H1666)</f>
        <v>269.79390000000001</v>
      </c>
      <c r="I1663" s="380">
        <v>428.6</v>
      </c>
      <c r="J1663" s="631">
        <f>IF(ISBLANK(I1663),"",SUM(H1663:I1663))</f>
        <v>698.39390000000003</v>
      </c>
      <c r="K1663" s="593">
        <f t="shared" si="403"/>
        <v>885.21</v>
      </c>
      <c r="L1663" s="382" t="s">
        <v>16</v>
      </c>
      <c r="M1663" s="30"/>
      <c r="N1663" s="30">
        <v>885.21</v>
      </c>
      <c r="O1663" s="287">
        <f t="shared" si="404"/>
        <v>0</v>
      </c>
      <c r="P1663" s="287">
        <f t="shared" si="405"/>
        <v>0</v>
      </c>
      <c r="Q1663" s="288"/>
      <c r="R1663" s="243"/>
      <c r="S1663" s="378" t="str">
        <f t="shared" si="411"/>
        <v/>
      </c>
      <c r="U1663" s="722"/>
    </row>
    <row r="1664" spans="2:21" hidden="1" x14ac:dyDescent="0.2">
      <c r="B1664" s="730" t="s">
        <v>168</v>
      </c>
      <c r="C1664" s="300"/>
      <c r="D1664" s="417" t="s">
        <v>213</v>
      </c>
      <c r="E1664" s="704"/>
      <c r="F1664" s="661">
        <v>500</v>
      </c>
      <c r="G1664" s="665">
        <v>0.27</v>
      </c>
      <c r="H1664" s="664">
        <f>IF(F1664&lt;=30,(0.75*F1664+6.29)*G1664,((0.75*30+6.29)+0.62*(F1664-30))*G1664)</f>
        <v>86.451300000000003</v>
      </c>
      <c r="I1664" s="380">
        <v>0</v>
      </c>
      <c r="J1664" s="631"/>
      <c r="K1664" s="593">
        <f t="shared" si="403"/>
        <v>0</v>
      </c>
      <c r="L1664" s="427" t="s">
        <v>755</v>
      </c>
      <c r="M1664" s="418"/>
      <c r="N1664" s="419">
        <v>0</v>
      </c>
      <c r="O1664" s="287">
        <f t="shared" si="404"/>
        <v>0</v>
      </c>
      <c r="P1664" s="287">
        <f t="shared" si="405"/>
        <v>0</v>
      </c>
      <c r="Q1664" s="288"/>
      <c r="R1664" s="311" t="str">
        <f>IF(P1663&gt;0,"xy","")</f>
        <v/>
      </c>
      <c r="S1664" s="378" t="str">
        <f t="shared" si="411"/>
        <v/>
      </c>
      <c r="U1664" s="722"/>
    </row>
    <row r="1665" spans="2:21" hidden="1" x14ac:dyDescent="0.2">
      <c r="B1665" s="730" t="s">
        <v>168</v>
      </c>
      <c r="C1665" s="300"/>
      <c r="D1665" s="417" t="s">
        <v>249</v>
      </c>
      <c r="E1665" s="704"/>
      <c r="F1665" s="661">
        <v>180</v>
      </c>
      <c r="G1665" s="665">
        <v>0.96</v>
      </c>
      <c r="H1665" s="663">
        <f t="shared" ref="H1665:H1666" si="413">IF(F1665&lt;=30,(1.05*F1665+2.18)*G1665,((1.05*30+2.18)+0.87*(F1665-30))*G1665)</f>
        <v>157.61279999999999</v>
      </c>
      <c r="I1665" s="380">
        <v>0</v>
      </c>
      <c r="J1665" s="631"/>
      <c r="K1665" s="593">
        <f t="shared" si="403"/>
        <v>0</v>
      </c>
      <c r="L1665" s="427" t="s">
        <v>755</v>
      </c>
      <c r="M1665" s="418"/>
      <c r="N1665" s="419">
        <v>0</v>
      </c>
      <c r="O1665" s="287">
        <f t="shared" si="404"/>
        <v>0</v>
      </c>
      <c r="P1665" s="287">
        <f t="shared" si="405"/>
        <v>0</v>
      </c>
      <c r="Q1665" s="288"/>
      <c r="R1665" s="311" t="str">
        <f>IF(P1663&gt;0,"xy","")</f>
        <v/>
      </c>
      <c r="S1665" s="378" t="str">
        <f t="shared" si="411"/>
        <v/>
      </c>
      <c r="U1665" s="722"/>
    </row>
    <row r="1666" spans="2:21" hidden="1" x14ac:dyDescent="0.2">
      <c r="B1666" s="730" t="s">
        <v>168</v>
      </c>
      <c r="C1666" s="300"/>
      <c r="D1666" s="417" t="s">
        <v>253</v>
      </c>
      <c r="E1666" s="704"/>
      <c r="F1666" s="661">
        <v>20</v>
      </c>
      <c r="G1666" s="665">
        <v>1.1100000000000001</v>
      </c>
      <c r="H1666" s="663">
        <f t="shared" si="413"/>
        <v>25.729800000000001</v>
      </c>
      <c r="I1666" s="380">
        <v>0</v>
      </c>
      <c r="J1666" s="631"/>
      <c r="K1666" s="593">
        <f t="shared" si="403"/>
        <v>0</v>
      </c>
      <c r="L1666" s="427" t="s">
        <v>755</v>
      </c>
      <c r="M1666" s="418"/>
      <c r="N1666" s="419">
        <v>0</v>
      </c>
      <c r="O1666" s="287">
        <f t="shared" si="404"/>
        <v>0</v>
      </c>
      <c r="P1666" s="287">
        <f t="shared" si="405"/>
        <v>0</v>
      </c>
      <c r="Q1666" s="288"/>
      <c r="R1666" s="311" t="str">
        <f>IF(P1663&gt;0,"xy","")</f>
        <v/>
      </c>
      <c r="S1666" s="378" t="str">
        <f t="shared" si="411"/>
        <v/>
      </c>
      <c r="U1666" s="722"/>
    </row>
    <row r="1667" spans="2:21" hidden="1" x14ac:dyDescent="0.2">
      <c r="B1667" s="730" t="s">
        <v>1914</v>
      </c>
      <c r="C1667" s="300" t="s">
        <v>207</v>
      </c>
      <c r="D1667" s="383" t="s">
        <v>354</v>
      </c>
      <c r="E1667" s="704"/>
      <c r="F1667" s="661"/>
      <c r="G1667" s="665"/>
      <c r="H1667" s="664">
        <f>SUM(H1668:H1670)</f>
        <v>282.60228000000001</v>
      </c>
      <c r="I1667" s="380">
        <v>457.4</v>
      </c>
      <c r="J1667" s="631">
        <f>IF(ISBLANK(I1667),"",SUM(H1667:I1667))</f>
        <v>740.00227999999993</v>
      </c>
      <c r="K1667" s="593">
        <f t="shared" si="403"/>
        <v>937.95</v>
      </c>
      <c r="L1667" s="382" t="s">
        <v>16</v>
      </c>
      <c r="M1667" s="30"/>
      <c r="N1667" s="30">
        <v>937.95</v>
      </c>
      <c r="O1667" s="287">
        <f t="shared" si="404"/>
        <v>0</v>
      </c>
      <c r="P1667" s="287">
        <f t="shared" si="405"/>
        <v>0</v>
      </c>
      <c r="Q1667" s="288"/>
      <c r="R1667" s="243"/>
      <c r="S1667" s="378" t="str">
        <f t="shared" si="411"/>
        <v/>
      </c>
      <c r="U1667" s="722"/>
    </row>
    <row r="1668" spans="2:21" hidden="1" x14ac:dyDescent="0.2">
      <c r="B1668" s="730" t="s">
        <v>168</v>
      </c>
      <c r="C1668" s="300"/>
      <c r="D1668" s="417" t="s">
        <v>213</v>
      </c>
      <c r="E1668" s="704"/>
      <c r="F1668" s="661">
        <v>500</v>
      </c>
      <c r="G1668" s="665">
        <v>0.33</v>
      </c>
      <c r="H1668" s="664">
        <f>IF(F1668&lt;=30,(0.75*F1668+6.29)*G1668,((0.75*30+6.29)+0.62*(F1668-30))*G1668)</f>
        <v>105.6627</v>
      </c>
      <c r="I1668" s="380">
        <v>0</v>
      </c>
      <c r="J1668" s="631"/>
      <c r="K1668" s="593">
        <f t="shared" si="403"/>
        <v>0</v>
      </c>
      <c r="L1668" s="427" t="s">
        <v>755</v>
      </c>
      <c r="M1668" s="418"/>
      <c r="N1668" s="419">
        <v>0</v>
      </c>
      <c r="O1668" s="287">
        <f t="shared" si="404"/>
        <v>0</v>
      </c>
      <c r="P1668" s="287">
        <f t="shared" si="405"/>
        <v>0</v>
      </c>
      <c r="Q1668" s="288"/>
      <c r="R1668" s="311" t="str">
        <f>IF(P1667&gt;0,"xy","")</f>
        <v/>
      </c>
      <c r="S1668" s="378" t="str">
        <f t="shared" si="411"/>
        <v/>
      </c>
      <c r="U1668" s="722"/>
    </row>
    <row r="1669" spans="2:21" hidden="1" x14ac:dyDescent="0.2">
      <c r="B1669" s="730" t="s">
        <v>168</v>
      </c>
      <c r="C1669" s="300"/>
      <c r="D1669" s="417" t="s">
        <v>249</v>
      </c>
      <c r="E1669" s="704"/>
      <c r="F1669" s="661">
        <v>180</v>
      </c>
      <c r="G1669" s="665">
        <v>0.92100000000000004</v>
      </c>
      <c r="H1669" s="663">
        <f t="shared" ref="H1669:H1670" si="414">IF(F1669&lt;=30,(1.05*F1669+2.18)*G1669,((1.05*30+2.18)+0.87*(F1669-30))*G1669)</f>
        <v>151.20978000000002</v>
      </c>
      <c r="I1669" s="380">
        <v>0</v>
      </c>
      <c r="J1669" s="631"/>
      <c r="K1669" s="593">
        <f t="shared" si="403"/>
        <v>0</v>
      </c>
      <c r="L1669" s="427" t="s">
        <v>755</v>
      </c>
      <c r="M1669" s="418"/>
      <c r="N1669" s="419">
        <v>0</v>
      </c>
      <c r="O1669" s="287">
        <f t="shared" si="404"/>
        <v>0</v>
      </c>
      <c r="P1669" s="287">
        <f t="shared" si="405"/>
        <v>0</v>
      </c>
      <c r="Q1669" s="288"/>
      <c r="R1669" s="311" t="str">
        <f>IF(P1667&gt;0,"xy","")</f>
        <v/>
      </c>
      <c r="S1669" s="378" t="str">
        <f t="shared" si="411"/>
        <v/>
      </c>
      <c r="U1669" s="722"/>
    </row>
    <row r="1670" spans="2:21" hidden="1" x14ac:dyDescent="0.2">
      <c r="B1670" s="730" t="s">
        <v>168</v>
      </c>
      <c r="C1670" s="300"/>
      <c r="D1670" s="417" t="s">
        <v>253</v>
      </c>
      <c r="E1670" s="704"/>
      <c r="F1670" s="661">
        <v>20</v>
      </c>
      <c r="G1670" s="665">
        <v>1.1100000000000001</v>
      </c>
      <c r="H1670" s="663">
        <f t="shared" si="414"/>
        <v>25.729800000000001</v>
      </c>
      <c r="I1670" s="380">
        <v>0</v>
      </c>
      <c r="J1670" s="631"/>
      <c r="K1670" s="593">
        <f t="shared" si="403"/>
        <v>0</v>
      </c>
      <c r="L1670" s="427" t="s">
        <v>755</v>
      </c>
      <c r="M1670" s="418"/>
      <c r="N1670" s="419">
        <v>0</v>
      </c>
      <c r="O1670" s="287">
        <f t="shared" si="404"/>
        <v>0</v>
      </c>
      <c r="P1670" s="287">
        <f t="shared" si="405"/>
        <v>0</v>
      </c>
      <c r="Q1670" s="288"/>
      <c r="R1670" s="311" t="str">
        <f>IF(P1667&gt;0,"xy","")</f>
        <v/>
      </c>
      <c r="S1670" s="378" t="str">
        <f t="shared" si="411"/>
        <v/>
      </c>
      <c r="U1670" s="722"/>
    </row>
    <row r="1671" spans="2:21" hidden="1" x14ac:dyDescent="0.2">
      <c r="B1671" s="730" t="s">
        <v>1837</v>
      </c>
      <c r="C1671" s="300" t="s">
        <v>207</v>
      </c>
      <c r="D1671" s="383" t="s">
        <v>355</v>
      </c>
      <c r="E1671" s="704"/>
      <c r="F1671" s="661"/>
      <c r="G1671" s="665"/>
      <c r="H1671" s="664">
        <f>SUM(H1672:H1674)</f>
        <v>203.42962</v>
      </c>
      <c r="I1671" s="380">
        <v>464.24</v>
      </c>
      <c r="J1671" s="631">
        <f>IF(ISBLANK(I1671),"",SUM(H1671:I1671))</f>
        <v>667.66962000000001</v>
      </c>
      <c r="K1671" s="593">
        <f t="shared" si="403"/>
        <v>846.27</v>
      </c>
      <c r="L1671" s="382" t="s">
        <v>16</v>
      </c>
      <c r="M1671" s="30"/>
      <c r="N1671" s="30">
        <v>846.27</v>
      </c>
      <c r="O1671" s="287">
        <f t="shared" si="404"/>
        <v>0</v>
      </c>
      <c r="P1671" s="287">
        <f t="shared" si="405"/>
        <v>0</v>
      </c>
      <c r="Q1671" s="288"/>
      <c r="R1671" s="243"/>
      <c r="S1671" s="378" t="str">
        <f t="shared" si="411"/>
        <v/>
      </c>
      <c r="U1671" s="722"/>
    </row>
    <row r="1672" spans="2:21" hidden="1" x14ac:dyDescent="0.2">
      <c r="B1672" s="730" t="s">
        <v>168</v>
      </c>
      <c r="C1672" s="300"/>
      <c r="D1672" s="417" t="s">
        <v>213</v>
      </c>
      <c r="E1672" s="704"/>
      <c r="F1672" s="661">
        <v>500</v>
      </c>
      <c r="G1672" s="665">
        <v>0.34399999999999997</v>
      </c>
      <c r="H1672" s="664">
        <f>IF(F1672&lt;=30,(0.51*F1672+4.28)*G1672,((0.51*30+4.28)+0.42*(F1672-30))*G1672)</f>
        <v>74.641120000000001</v>
      </c>
      <c r="I1672" s="380">
        <v>0</v>
      </c>
      <c r="J1672" s="631"/>
      <c r="K1672" s="593">
        <f t="shared" si="403"/>
        <v>0</v>
      </c>
      <c r="L1672" s="427" t="s">
        <v>755</v>
      </c>
      <c r="M1672" s="418"/>
      <c r="N1672" s="419">
        <v>0</v>
      </c>
      <c r="O1672" s="287">
        <f t="shared" si="404"/>
        <v>0</v>
      </c>
      <c r="P1672" s="287">
        <f t="shared" si="405"/>
        <v>0</v>
      </c>
      <c r="Q1672" s="288"/>
      <c r="R1672" s="311" t="str">
        <f>IF(P1671&gt;0,"xy","")</f>
        <v/>
      </c>
      <c r="S1672" s="378" t="str">
        <f t="shared" si="411"/>
        <v/>
      </c>
      <c r="U1672" s="722"/>
    </row>
    <row r="1673" spans="2:21" hidden="1" x14ac:dyDescent="0.2">
      <c r="B1673" s="730" t="s">
        <v>168</v>
      </c>
      <c r="C1673" s="300"/>
      <c r="D1673" s="417" t="s">
        <v>249</v>
      </c>
      <c r="E1673" s="704"/>
      <c r="F1673" s="661">
        <v>180</v>
      </c>
      <c r="G1673" s="665">
        <v>1.02</v>
      </c>
      <c r="H1673" s="664">
        <f>IF(F1673=0,0,IF(F1673&lt;=30,(0.7*F1673+1.45)*G1673,((0.7*30+1.45)+0.58*(F1673-30))*G1673))</f>
        <v>111.63900000000001</v>
      </c>
      <c r="I1673" s="380">
        <v>0</v>
      </c>
      <c r="J1673" s="631"/>
      <c r="K1673" s="593">
        <f t="shared" si="403"/>
        <v>0</v>
      </c>
      <c r="L1673" s="427" t="s">
        <v>755</v>
      </c>
      <c r="M1673" s="418"/>
      <c r="N1673" s="419">
        <v>0</v>
      </c>
      <c r="O1673" s="287">
        <f t="shared" si="404"/>
        <v>0</v>
      </c>
      <c r="P1673" s="287">
        <f t="shared" si="405"/>
        <v>0</v>
      </c>
      <c r="Q1673" s="288"/>
      <c r="R1673" s="311" t="str">
        <f>IF(P1671&gt;0,"xy","")</f>
        <v/>
      </c>
      <c r="S1673" s="378" t="str">
        <f t="shared" si="411"/>
        <v/>
      </c>
      <c r="U1673" s="722"/>
    </row>
    <row r="1674" spans="2:21" hidden="1" x14ac:dyDescent="0.2">
      <c r="B1674" s="730" t="s">
        <v>168</v>
      </c>
      <c r="C1674" s="300"/>
      <c r="D1674" s="417" t="s">
        <v>253</v>
      </c>
      <c r="E1674" s="704"/>
      <c r="F1674" s="661">
        <v>20</v>
      </c>
      <c r="G1674" s="665">
        <v>1.1100000000000001</v>
      </c>
      <c r="H1674" s="664">
        <f>IF(F1674=0,0,IF(F1674&lt;=30,(0.7*F1674+1.45)*G1674,((0.7*30+1.45)+0.58*(F1674-30))*G1674))</f>
        <v>17.1495</v>
      </c>
      <c r="I1674" s="380">
        <v>0</v>
      </c>
      <c r="J1674" s="631"/>
      <c r="K1674" s="593">
        <f t="shared" si="403"/>
        <v>0</v>
      </c>
      <c r="L1674" s="427" t="s">
        <v>755</v>
      </c>
      <c r="M1674" s="418"/>
      <c r="N1674" s="419">
        <v>0</v>
      </c>
      <c r="O1674" s="287">
        <f t="shared" si="404"/>
        <v>0</v>
      </c>
      <c r="P1674" s="287">
        <f t="shared" si="405"/>
        <v>0</v>
      </c>
      <c r="Q1674" s="288"/>
      <c r="R1674" s="311" t="str">
        <f>IF(P1671&gt;0,"xy","")</f>
        <v/>
      </c>
      <c r="S1674" s="378" t="str">
        <f t="shared" si="411"/>
        <v/>
      </c>
      <c r="U1674" s="722"/>
    </row>
    <row r="1675" spans="2:21" hidden="1" x14ac:dyDescent="0.2">
      <c r="B1675" s="730" t="s">
        <v>2088</v>
      </c>
      <c r="C1675" s="300" t="s">
        <v>207</v>
      </c>
      <c r="D1675" s="383" t="s">
        <v>282</v>
      </c>
      <c r="E1675" s="704"/>
      <c r="F1675" s="661"/>
      <c r="G1675" s="665"/>
      <c r="H1675" s="664">
        <v>0</v>
      </c>
      <c r="I1675" s="380">
        <v>40.260000000000005</v>
      </c>
      <c r="J1675" s="631">
        <f>IF(ISBLANK(I1675),"",SUM(H1675:I1675))</f>
        <v>40.260000000000005</v>
      </c>
      <c r="K1675" s="593">
        <f t="shared" si="403"/>
        <v>51.03</v>
      </c>
      <c r="L1675" s="382" t="s">
        <v>19</v>
      </c>
      <c r="M1675" s="30"/>
      <c r="N1675" s="30">
        <v>51.03</v>
      </c>
      <c r="O1675" s="287">
        <f t="shared" si="404"/>
        <v>0</v>
      </c>
      <c r="P1675" s="287">
        <f t="shared" si="405"/>
        <v>0</v>
      </c>
      <c r="Q1675" s="288"/>
      <c r="R1675" s="243"/>
      <c r="S1675" s="378" t="str">
        <f t="shared" si="411"/>
        <v/>
      </c>
      <c r="U1675" s="722"/>
    </row>
    <row r="1676" spans="2:21" hidden="1" x14ac:dyDescent="0.2">
      <c r="B1676" s="730" t="s">
        <v>2089</v>
      </c>
      <c r="C1676" s="300" t="s">
        <v>207</v>
      </c>
      <c r="D1676" s="383" t="s">
        <v>283</v>
      </c>
      <c r="E1676" s="704"/>
      <c r="F1676" s="661"/>
      <c r="G1676" s="665"/>
      <c r="H1676" s="664">
        <v>0</v>
      </c>
      <c r="I1676" s="380">
        <v>34.72</v>
      </c>
      <c r="J1676" s="631">
        <f>IF(ISBLANK(I1676),"",SUM(H1676:I1676))</f>
        <v>34.72</v>
      </c>
      <c r="K1676" s="593">
        <f t="shared" si="403"/>
        <v>44.01</v>
      </c>
      <c r="L1676" s="382" t="s">
        <v>19</v>
      </c>
      <c r="M1676" s="30"/>
      <c r="N1676" s="30">
        <v>44.01</v>
      </c>
      <c r="O1676" s="287">
        <f t="shared" si="404"/>
        <v>0</v>
      </c>
      <c r="P1676" s="287">
        <f t="shared" si="405"/>
        <v>0</v>
      </c>
      <c r="Q1676" s="288"/>
      <c r="R1676" s="243"/>
      <c r="S1676" s="378" t="str">
        <f t="shared" si="411"/>
        <v/>
      </c>
      <c r="U1676" s="722"/>
    </row>
    <row r="1677" spans="2:21" hidden="1" x14ac:dyDescent="0.2">
      <c r="B1677" s="730" t="s">
        <v>1831</v>
      </c>
      <c r="C1677" s="300" t="s">
        <v>207</v>
      </c>
      <c r="D1677" s="383" t="s">
        <v>284</v>
      </c>
      <c r="E1677" s="704"/>
      <c r="F1677" s="661">
        <v>0</v>
      </c>
      <c r="G1677" s="665"/>
      <c r="H1677" s="664">
        <v>0</v>
      </c>
      <c r="I1677" s="380">
        <v>485.29</v>
      </c>
      <c r="J1677" s="631">
        <f>IF(ISBLANK(I1677),"",SUM(H1677:I1677))</f>
        <v>485.29</v>
      </c>
      <c r="K1677" s="593">
        <f t="shared" si="403"/>
        <v>615.11</v>
      </c>
      <c r="L1677" s="382" t="s">
        <v>19</v>
      </c>
      <c r="M1677" s="30"/>
      <c r="N1677" s="30">
        <v>615.11</v>
      </c>
      <c r="O1677" s="287">
        <f t="shared" si="404"/>
        <v>0</v>
      </c>
      <c r="P1677" s="287">
        <f t="shared" si="405"/>
        <v>0</v>
      </c>
      <c r="Q1677" s="288"/>
      <c r="R1677" s="243"/>
      <c r="S1677" s="378" t="str">
        <f t="shared" si="411"/>
        <v/>
      </c>
      <c r="U1677" s="722"/>
    </row>
    <row r="1678" spans="2:21" hidden="1" x14ac:dyDescent="0.2">
      <c r="B1678" s="730" t="s">
        <v>1790</v>
      </c>
      <c r="C1678" s="300" t="s">
        <v>817</v>
      </c>
      <c r="D1678" s="764" t="s">
        <v>1787</v>
      </c>
      <c r="E1678" s="765"/>
      <c r="F1678" s="671"/>
      <c r="G1678" s="701"/>
      <c r="H1678" s="729"/>
      <c r="I1678" s="380">
        <v>175.28</v>
      </c>
      <c r="J1678" s="631">
        <f t="shared" ref="J1678" si="415">IF(ISBLANK(I1678),"",SUM(H1678:I1678))</f>
        <v>175.28</v>
      </c>
      <c r="K1678" s="593">
        <f t="shared" si="403"/>
        <v>222.17</v>
      </c>
      <c r="L1678" s="382" t="s">
        <v>16</v>
      </c>
      <c r="M1678" s="30"/>
      <c r="N1678" s="30">
        <v>222.17</v>
      </c>
      <c r="O1678" s="287">
        <f t="shared" si="404"/>
        <v>0</v>
      </c>
      <c r="P1678" s="384">
        <f t="shared" si="405"/>
        <v>0</v>
      </c>
      <c r="Q1678" s="288"/>
      <c r="R1678" s="243"/>
      <c r="S1678" s="378" t="str">
        <f t="shared" si="411"/>
        <v/>
      </c>
      <c r="U1678" s="722"/>
    </row>
    <row r="1679" spans="2:21" hidden="1" x14ac:dyDescent="0.2">
      <c r="B1679" s="730" t="s">
        <v>1791</v>
      </c>
      <c r="C1679" s="300" t="s">
        <v>817</v>
      </c>
      <c r="D1679" s="764" t="s">
        <v>1789</v>
      </c>
      <c r="E1679" s="765"/>
      <c r="F1679" s="671"/>
      <c r="G1679" s="701"/>
      <c r="H1679" s="729"/>
      <c r="I1679" s="380">
        <v>107.58</v>
      </c>
      <c r="J1679" s="631">
        <f>IF(ISBLANK(I1679),"",SUM(H1679:I1679))</f>
        <v>107.58</v>
      </c>
      <c r="K1679" s="593">
        <f t="shared" si="403"/>
        <v>136.36000000000001</v>
      </c>
      <c r="L1679" s="382" t="s">
        <v>16</v>
      </c>
      <c r="M1679" s="30"/>
      <c r="N1679" s="30">
        <v>136.36000000000001</v>
      </c>
      <c r="O1679" s="287">
        <f t="shared" si="404"/>
        <v>0</v>
      </c>
      <c r="P1679" s="384">
        <f t="shared" si="405"/>
        <v>0</v>
      </c>
      <c r="Q1679" s="288"/>
      <c r="R1679" s="243"/>
      <c r="S1679" s="378" t="str">
        <f t="shared" si="411"/>
        <v/>
      </c>
      <c r="U1679" s="722"/>
    </row>
    <row r="1680" spans="2:21" hidden="1" x14ac:dyDescent="0.2">
      <c r="B1680" s="730" t="s">
        <v>1792</v>
      </c>
      <c r="C1680" s="300" t="s">
        <v>207</v>
      </c>
      <c r="D1680" s="764" t="s">
        <v>515</v>
      </c>
      <c r="E1680" s="765"/>
      <c r="F1680" s="671"/>
      <c r="G1680" s="701"/>
      <c r="H1680" s="729"/>
      <c r="I1680" s="380">
        <v>169.87</v>
      </c>
      <c r="J1680" s="631">
        <f>IF(ISBLANK(I1680),"",SUM(H1680:I1680))</f>
        <v>169.87</v>
      </c>
      <c r="K1680" s="593">
        <f t="shared" si="403"/>
        <v>215.31</v>
      </c>
      <c r="L1680" s="382" t="s">
        <v>16</v>
      </c>
      <c r="M1680" s="30"/>
      <c r="N1680" s="30">
        <v>215.31</v>
      </c>
      <c r="O1680" s="287">
        <f t="shared" si="404"/>
        <v>0</v>
      </c>
      <c r="P1680" s="384">
        <f t="shared" si="405"/>
        <v>0</v>
      </c>
      <c r="Q1680" s="288"/>
      <c r="R1680" s="243"/>
      <c r="S1680" s="378" t="str">
        <f t="shared" si="411"/>
        <v/>
      </c>
      <c r="U1680" s="722"/>
    </row>
    <row r="1681" spans="2:21" hidden="1" x14ac:dyDescent="0.2">
      <c r="B1681" s="730" t="s">
        <v>1785</v>
      </c>
      <c r="C1681" s="300" t="s">
        <v>207</v>
      </c>
      <c r="D1681" s="383" t="s">
        <v>491</v>
      </c>
      <c r="E1681" s="704"/>
      <c r="F1681" s="661">
        <v>0</v>
      </c>
      <c r="G1681" s="665"/>
      <c r="H1681" s="664">
        <v>0</v>
      </c>
      <c r="I1681" s="380">
        <v>11.64</v>
      </c>
      <c r="J1681" s="631">
        <f t="shared" ref="J1681" si="416">IF(ISBLANK(I1681),"",SUM(H1681:I1681))</f>
        <v>11.64</v>
      </c>
      <c r="K1681" s="593">
        <f t="shared" si="403"/>
        <v>14.75</v>
      </c>
      <c r="L1681" s="382" t="s">
        <v>19</v>
      </c>
      <c r="M1681" s="30"/>
      <c r="N1681" s="30">
        <v>14.75</v>
      </c>
      <c r="O1681" s="287">
        <f t="shared" si="404"/>
        <v>0</v>
      </c>
      <c r="P1681" s="287">
        <f t="shared" si="405"/>
        <v>0</v>
      </c>
      <c r="Q1681" s="288"/>
      <c r="R1681" s="243"/>
      <c r="S1681" s="378" t="str">
        <f t="shared" si="411"/>
        <v/>
      </c>
      <c r="U1681" s="722"/>
    </row>
    <row r="1682" spans="2:21" hidden="1" x14ac:dyDescent="0.2">
      <c r="B1682" s="730" t="s">
        <v>1915</v>
      </c>
      <c r="C1682" s="300" t="s">
        <v>207</v>
      </c>
      <c r="D1682" s="383" t="s">
        <v>281</v>
      </c>
      <c r="E1682" s="704"/>
      <c r="F1682" s="661">
        <v>0</v>
      </c>
      <c r="G1682" s="665"/>
      <c r="H1682" s="664">
        <v>0</v>
      </c>
      <c r="I1682" s="380">
        <v>32.15</v>
      </c>
      <c r="J1682" s="631">
        <f t="shared" ref="J1682" si="417">IF(ISBLANK(I1682),"",SUM(H1682:I1682))</f>
        <v>32.15</v>
      </c>
      <c r="K1682" s="593">
        <f t="shared" si="403"/>
        <v>40.75</v>
      </c>
      <c r="L1682" s="382" t="s">
        <v>19</v>
      </c>
      <c r="M1682" s="30"/>
      <c r="N1682" s="30">
        <v>40.75</v>
      </c>
      <c r="O1682" s="287">
        <f t="shared" si="404"/>
        <v>0</v>
      </c>
      <c r="P1682" s="287">
        <f t="shared" si="405"/>
        <v>0</v>
      </c>
      <c r="Q1682" s="288"/>
      <c r="R1682" s="243"/>
      <c r="S1682" s="378" t="str">
        <f t="shared" si="411"/>
        <v/>
      </c>
      <c r="U1682" s="722"/>
    </row>
    <row r="1683" spans="2:21" hidden="1" x14ac:dyDescent="0.2">
      <c r="B1683" s="730" t="s">
        <v>1771</v>
      </c>
      <c r="C1683" s="300" t="s">
        <v>207</v>
      </c>
      <c r="D1683" s="383" t="s">
        <v>201</v>
      </c>
      <c r="E1683" s="704"/>
      <c r="F1683" s="661">
        <v>0</v>
      </c>
      <c r="G1683" s="665"/>
      <c r="H1683" s="664">
        <v>0</v>
      </c>
      <c r="I1683" s="380">
        <v>287.76000000000005</v>
      </c>
      <c r="J1683" s="631">
        <f t="shared" ref="J1683:J1688" si="418">IF(ISBLANK(I1683),"",SUM(H1683:I1683))</f>
        <v>287.76000000000005</v>
      </c>
      <c r="K1683" s="593">
        <f t="shared" si="403"/>
        <v>364.74</v>
      </c>
      <c r="L1683" s="382" t="s">
        <v>16</v>
      </c>
      <c r="M1683" s="30"/>
      <c r="N1683" s="30">
        <v>364.74</v>
      </c>
      <c r="O1683" s="287">
        <f t="shared" si="404"/>
        <v>0</v>
      </c>
      <c r="P1683" s="287">
        <f t="shared" si="405"/>
        <v>0</v>
      </c>
      <c r="Q1683" s="288"/>
      <c r="R1683" s="243"/>
      <c r="S1683" s="378" t="str">
        <f t="shared" si="411"/>
        <v/>
      </c>
      <c r="U1683" s="722"/>
    </row>
    <row r="1684" spans="2:21" hidden="1" x14ac:dyDescent="0.2">
      <c r="B1684" s="730" t="s">
        <v>1774</v>
      </c>
      <c r="C1684" s="300" t="s">
        <v>207</v>
      </c>
      <c r="D1684" s="383" t="s">
        <v>274</v>
      </c>
      <c r="E1684" s="704"/>
      <c r="F1684" s="661">
        <v>0</v>
      </c>
      <c r="G1684" s="665"/>
      <c r="H1684" s="664">
        <v>0</v>
      </c>
      <c r="I1684" s="380">
        <v>137.65</v>
      </c>
      <c r="J1684" s="631">
        <f t="shared" si="418"/>
        <v>137.65</v>
      </c>
      <c r="K1684" s="593">
        <f t="shared" si="403"/>
        <v>174.47</v>
      </c>
      <c r="L1684" s="382" t="s">
        <v>16</v>
      </c>
      <c r="M1684" s="30"/>
      <c r="N1684" s="30">
        <v>174.47</v>
      </c>
      <c r="O1684" s="287">
        <f t="shared" si="404"/>
        <v>0</v>
      </c>
      <c r="P1684" s="287">
        <f t="shared" si="405"/>
        <v>0</v>
      </c>
      <c r="Q1684" s="288"/>
      <c r="R1684" s="243"/>
      <c r="S1684" s="378" t="str">
        <f t="shared" si="411"/>
        <v/>
      </c>
      <c r="U1684" s="722"/>
    </row>
    <row r="1685" spans="2:21" hidden="1" x14ac:dyDescent="0.2">
      <c r="B1685" s="730" t="s">
        <v>1839</v>
      </c>
      <c r="C1685" s="300" t="s">
        <v>207</v>
      </c>
      <c r="D1685" s="383" t="s">
        <v>340</v>
      </c>
      <c r="E1685" s="704"/>
      <c r="F1685" s="661">
        <v>20</v>
      </c>
      <c r="G1685" s="665">
        <v>1.8</v>
      </c>
      <c r="H1685" s="663">
        <f t="shared" ref="H1685:H1686" si="419">IF(F1685&lt;=30,(1.05*F1685+2.18)*G1685,((1.05*30+2.18)+0.87*(F1685-30))*G1685)</f>
        <v>41.724000000000004</v>
      </c>
      <c r="I1685" s="380">
        <v>197.1</v>
      </c>
      <c r="J1685" s="631">
        <f t="shared" si="418"/>
        <v>238.82400000000001</v>
      </c>
      <c r="K1685" s="593">
        <f t="shared" si="403"/>
        <v>302.70999999999998</v>
      </c>
      <c r="L1685" s="382" t="s">
        <v>16</v>
      </c>
      <c r="M1685" s="30"/>
      <c r="N1685" s="30">
        <v>302.70999999999998</v>
      </c>
      <c r="O1685" s="287">
        <f t="shared" si="404"/>
        <v>0</v>
      </c>
      <c r="P1685" s="287">
        <f t="shared" si="405"/>
        <v>0</v>
      </c>
      <c r="Q1685" s="288"/>
      <c r="R1685" s="377"/>
      <c r="S1685" s="378" t="str">
        <f t="shared" si="411"/>
        <v/>
      </c>
      <c r="U1685" s="722"/>
    </row>
    <row r="1686" spans="2:21" hidden="1" x14ac:dyDescent="0.2">
      <c r="B1686" s="730" t="s">
        <v>1840</v>
      </c>
      <c r="C1686" s="300" t="s">
        <v>207</v>
      </c>
      <c r="D1686" s="383" t="s">
        <v>341</v>
      </c>
      <c r="E1686" s="704"/>
      <c r="F1686" s="661">
        <v>20</v>
      </c>
      <c r="G1686" s="665">
        <v>1.5</v>
      </c>
      <c r="H1686" s="663">
        <f t="shared" si="419"/>
        <v>34.769999999999996</v>
      </c>
      <c r="I1686" s="380">
        <v>115.67</v>
      </c>
      <c r="J1686" s="631">
        <f t="shared" si="418"/>
        <v>150.44</v>
      </c>
      <c r="K1686" s="593">
        <f t="shared" si="403"/>
        <v>190.68</v>
      </c>
      <c r="L1686" s="382" t="s">
        <v>16</v>
      </c>
      <c r="M1686" s="30"/>
      <c r="N1686" s="30">
        <v>190.68</v>
      </c>
      <c r="O1686" s="287">
        <f t="shared" si="404"/>
        <v>0</v>
      </c>
      <c r="P1686" s="287">
        <f t="shared" si="405"/>
        <v>0</v>
      </c>
      <c r="Q1686" s="288"/>
      <c r="R1686" s="243"/>
      <c r="S1686" s="378" t="str">
        <f t="shared" si="411"/>
        <v/>
      </c>
      <c r="U1686" s="722"/>
    </row>
    <row r="1687" spans="2:21" hidden="1" x14ac:dyDescent="0.2">
      <c r="B1687" s="730" t="s">
        <v>1843</v>
      </c>
      <c r="C1687" s="300" t="s">
        <v>207</v>
      </c>
      <c r="D1687" s="383" t="s">
        <v>324</v>
      </c>
      <c r="E1687" s="704"/>
      <c r="F1687" s="661">
        <v>0</v>
      </c>
      <c r="G1687" s="665">
        <v>0</v>
      </c>
      <c r="H1687" s="664">
        <v>0</v>
      </c>
      <c r="I1687" s="380">
        <v>46.12</v>
      </c>
      <c r="J1687" s="631">
        <f t="shared" si="418"/>
        <v>46.12</v>
      </c>
      <c r="K1687" s="593">
        <f t="shared" si="403"/>
        <v>58.46</v>
      </c>
      <c r="L1687" s="382" t="s">
        <v>16</v>
      </c>
      <c r="M1687" s="30"/>
      <c r="N1687" s="30">
        <v>58.46</v>
      </c>
      <c r="O1687" s="287">
        <f t="shared" si="404"/>
        <v>0</v>
      </c>
      <c r="P1687" s="287">
        <f t="shared" si="405"/>
        <v>0</v>
      </c>
      <c r="Q1687" s="288"/>
      <c r="R1687" s="243"/>
      <c r="S1687" s="378" t="str">
        <f t="shared" si="411"/>
        <v/>
      </c>
      <c r="U1687" s="722"/>
    </row>
    <row r="1688" spans="2:21" hidden="1" x14ac:dyDescent="0.2">
      <c r="B1688" s="730" t="s">
        <v>1821</v>
      </c>
      <c r="C1688" s="300" t="s">
        <v>207</v>
      </c>
      <c r="D1688" s="383" t="s">
        <v>277</v>
      </c>
      <c r="E1688" s="704"/>
      <c r="F1688" s="661"/>
      <c r="G1688" s="665"/>
      <c r="H1688" s="664">
        <f>IF(F1688&lt;=30,(0.31*F1688+0.77)*G1688,((0.31*30+0.77)+0.31*(F1688-30))*G1688)</f>
        <v>0</v>
      </c>
      <c r="I1688" s="380">
        <v>113.57</v>
      </c>
      <c r="J1688" s="631">
        <f t="shared" si="418"/>
        <v>113.57</v>
      </c>
      <c r="K1688" s="593">
        <f t="shared" si="403"/>
        <v>143.94999999999999</v>
      </c>
      <c r="L1688" s="382" t="s">
        <v>18</v>
      </c>
      <c r="M1688" s="30"/>
      <c r="N1688" s="30">
        <v>143.94999999999999</v>
      </c>
      <c r="O1688" s="287">
        <f t="shared" si="404"/>
        <v>0</v>
      </c>
      <c r="P1688" s="287">
        <f t="shared" si="405"/>
        <v>0</v>
      </c>
      <c r="Q1688" s="288"/>
      <c r="R1688" s="243"/>
      <c r="S1688" s="378" t="str">
        <f t="shared" si="411"/>
        <v/>
      </c>
      <c r="U1688" s="722"/>
    </row>
    <row r="1689" spans="2:21" hidden="1" x14ac:dyDescent="0.2">
      <c r="B1689" s="730" t="s">
        <v>1780</v>
      </c>
      <c r="C1689" s="300" t="s">
        <v>207</v>
      </c>
      <c r="D1689" s="764" t="s">
        <v>488</v>
      </c>
      <c r="E1689" s="765"/>
      <c r="F1689" s="671"/>
      <c r="G1689" s="701"/>
      <c r="H1689" s="729"/>
      <c r="I1689" s="380">
        <v>132.88</v>
      </c>
      <c r="J1689" s="631">
        <f t="shared" ref="J1689:J1699" si="420">IF(ISBLANK(I1689),"",SUM(H1689:I1689))</f>
        <v>132.88</v>
      </c>
      <c r="K1689" s="593">
        <f t="shared" si="403"/>
        <v>168.43</v>
      </c>
      <c r="L1689" s="382" t="s">
        <v>21</v>
      </c>
      <c r="M1689" s="30"/>
      <c r="N1689" s="30">
        <v>168.43</v>
      </c>
      <c r="O1689" s="287">
        <f t="shared" si="404"/>
        <v>0</v>
      </c>
      <c r="P1689" s="287">
        <f t="shared" si="405"/>
        <v>0</v>
      </c>
      <c r="Q1689" s="288"/>
      <c r="R1689" s="243"/>
      <c r="S1689" s="378" t="str">
        <f t="shared" si="411"/>
        <v/>
      </c>
      <c r="U1689" s="722"/>
    </row>
    <row r="1690" spans="2:21" hidden="1" x14ac:dyDescent="0.2">
      <c r="B1690" s="730" t="s">
        <v>1845</v>
      </c>
      <c r="C1690" s="300" t="s">
        <v>207</v>
      </c>
      <c r="D1690" s="764" t="s">
        <v>765</v>
      </c>
      <c r="E1690" s="765"/>
      <c r="F1690" s="671"/>
      <c r="G1690" s="701"/>
      <c r="H1690" s="729"/>
      <c r="I1690" s="380">
        <v>76.88</v>
      </c>
      <c r="J1690" s="631">
        <f t="shared" ref="J1690:J1692" si="421">IF(ISBLANK(I1690),"",SUM(H1690:I1690))</f>
        <v>76.88</v>
      </c>
      <c r="K1690" s="593">
        <f t="shared" si="403"/>
        <v>97.45</v>
      </c>
      <c r="L1690" s="382" t="s">
        <v>19</v>
      </c>
      <c r="M1690" s="30"/>
      <c r="N1690" s="30">
        <v>97.45</v>
      </c>
      <c r="O1690" s="287">
        <f t="shared" si="404"/>
        <v>0</v>
      </c>
      <c r="P1690" s="287">
        <f t="shared" si="405"/>
        <v>0</v>
      </c>
      <c r="Q1690" s="288"/>
      <c r="R1690" s="243"/>
      <c r="S1690" s="378" t="str">
        <f t="shared" si="411"/>
        <v/>
      </c>
      <c r="U1690" s="722"/>
    </row>
    <row r="1691" spans="2:21" hidden="1" x14ac:dyDescent="0.2">
      <c r="B1691" s="730" t="s">
        <v>1847</v>
      </c>
      <c r="C1691" s="300" t="s">
        <v>207</v>
      </c>
      <c r="D1691" s="764" t="s">
        <v>766</v>
      </c>
      <c r="E1691" s="765"/>
      <c r="F1691" s="671"/>
      <c r="G1691" s="701"/>
      <c r="H1691" s="729"/>
      <c r="I1691" s="380">
        <v>153.77000000000001</v>
      </c>
      <c r="J1691" s="631">
        <f t="shared" si="421"/>
        <v>153.77000000000001</v>
      </c>
      <c r="K1691" s="593">
        <f t="shared" si="403"/>
        <v>194.9</v>
      </c>
      <c r="L1691" s="382" t="s">
        <v>19</v>
      </c>
      <c r="M1691" s="30"/>
      <c r="N1691" s="30">
        <v>194.9</v>
      </c>
      <c r="O1691" s="287">
        <f t="shared" si="404"/>
        <v>0</v>
      </c>
      <c r="P1691" s="287">
        <f t="shared" si="405"/>
        <v>0</v>
      </c>
      <c r="Q1691" s="288"/>
      <c r="R1691" s="243"/>
      <c r="S1691" s="378" t="str">
        <f t="shared" si="411"/>
        <v/>
      </c>
      <c r="U1691" s="722"/>
    </row>
    <row r="1692" spans="2:21" hidden="1" x14ac:dyDescent="0.2">
      <c r="B1692" s="730" t="s">
        <v>1848</v>
      </c>
      <c r="C1692" s="300" t="s">
        <v>207</v>
      </c>
      <c r="D1692" s="764" t="s">
        <v>767</v>
      </c>
      <c r="E1692" s="765"/>
      <c r="F1692" s="671"/>
      <c r="G1692" s="701"/>
      <c r="H1692" s="729"/>
      <c r="I1692" s="380">
        <v>230.65</v>
      </c>
      <c r="J1692" s="631">
        <f t="shared" si="421"/>
        <v>230.65</v>
      </c>
      <c r="K1692" s="593">
        <f t="shared" si="403"/>
        <v>292.35000000000002</v>
      </c>
      <c r="L1692" s="382" t="s">
        <v>19</v>
      </c>
      <c r="M1692" s="30"/>
      <c r="N1692" s="30">
        <v>292.35000000000002</v>
      </c>
      <c r="O1692" s="287">
        <f t="shared" si="404"/>
        <v>0</v>
      </c>
      <c r="P1692" s="287">
        <f t="shared" si="405"/>
        <v>0</v>
      </c>
      <c r="Q1692" s="288"/>
      <c r="R1692" s="243"/>
      <c r="S1692" s="378" t="str">
        <f t="shared" si="411"/>
        <v/>
      </c>
      <c r="U1692" s="722"/>
    </row>
    <row r="1693" spans="2:21" hidden="1" x14ac:dyDescent="0.2">
      <c r="B1693" s="730" t="s">
        <v>1782</v>
      </c>
      <c r="C1693" s="300" t="s">
        <v>207</v>
      </c>
      <c r="D1693" s="764" t="s">
        <v>489</v>
      </c>
      <c r="E1693" s="765"/>
      <c r="F1693" s="671"/>
      <c r="G1693" s="701"/>
      <c r="H1693" s="729"/>
      <c r="I1693" s="380">
        <v>12.290000000000001</v>
      </c>
      <c r="J1693" s="631">
        <f t="shared" si="420"/>
        <v>12.290000000000001</v>
      </c>
      <c r="K1693" s="593">
        <f t="shared" si="403"/>
        <v>15.58</v>
      </c>
      <c r="L1693" s="382" t="s">
        <v>18</v>
      </c>
      <c r="M1693" s="30"/>
      <c r="N1693" s="30">
        <v>15.58</v>
      </c>
      <c r="O1693" s="287">
        <f t="shared" si="404"/>
        <v>0</v>
      </c>
      <c r="P1693" s="287">
        <f t="shared" si="405"/>
        <v>0</v>
      </c>
      <c r="Q1693" s="288"/>
      <c r="R1693" s="243"/>
      <c r="S1693" s="378" t="str">
        <f t="shared" si="411"/>
        <v/>
      </c>
      <c r="U1693" s="722"/>
    </row>
    <row r="1694" spans="2:21" hidden="1" x14ac:dyDescent="0.2">
      <c r="B1694" s="730" t="s">
        <v>1783</v>
      </c>
      <c r="C1694" s="300" t="s">
        <v>207</v>
      </c>
      <c r="D1694" s="764" t="s">
        <v>295</v>
      </c>
      <c r="E1694" s="765"/>
      <c r="F1694" s="671"/>
      <c r="G1694" s="701"/>
      <c r="H1694" s="729"/>
      <c r="I1694" s="380">
        <v>17.95</v>
      </c>
      <c r="J1694" s="631">
        <f t="shared" si="420"/>
        <v>17.95</v>
      </c>
      <c r="K1694" s="593">
        <f t="shared" si="403"/>
        <v>22.75</v>
      </c>
      <c r="L1694" s="382" t="s">
        <v>18</v>
      </c>
      <c r="M1694" s="415"/>
      <c r="N1694" s="415">
        <v>22.75</v>
      </c>
      <c r="O1694" s="287">
        <f t="shared" si="404"/>
        <v>0</v>
      </c>
      <c r="P1694" s="384">
        <f t="shared" si="405"/>
        <v>0</v>
      </c>
      <c r="Q1694" s="288"/>
      <c r="R1694" s="243"/>
      <c r="S1694" s="378" t="str">
        <f t="shared" si="411"/>
        <v/>
      </c>
      <c r="U1694" s="722"/>
    </row>
    <row r="1695" spans="2:21" hidden="1" x14ac:dyDescent="0.2">
      <c r="B1695" s="730" t="s">
        <v>1916</v>
      </c>
      <c r="C1695" s="300" t="s">
        <v>207</v>
      </c>
      <c r="D1695" s="764" t="s">
        <v>490</v>
      </c>
      <c r="E1695" s="765"/>
      <c r="F1695" s="671"/>
      <c r="G1695" s="701"/>
      <c r="H1695" s="729"/>
      <c r="I1695" s="380">
        <v>2.2199999999999998</v>
      </c>
      <c r="J1695" s="631">
        <f t="shared" si="420"/>
        <v>2.2199999999999998</v>
      </c>
      <c r="K1695" s="593">
        <f t="shared" si="403"/>
        <v>2.81</v>
      </c>
      <c r="L1695" s="382" t="s">
        <v>19</v>
      </c>
      <c r="M1695" s="415"/>
      <c r="N1695" s="415">
        <v>2.81</v>
      </c>
      <c r="O1695" s="287">
        <f t="shared" si="404"/>
        <v>0</v>
      </c>
      <c r="P1695" s="384">
        <f t="shared" si="405"/>
        <v>0</v>
      </c>
      <c r="Q1695" s="288"/>
      <c r="R1695" s="243"/>
      <c r="S1695" s="378" t="str">
        <f t="shared" si="411"/>
        <v/>
      </c>
      <c r="U1695" s="722"/>
    </row>
    <row r="1696" spans="2:21" hidden="1" x14ac:dyDescent="0.2">
      <c r="B1696" s="787" t="s">
        <v>2090</v>
      </c>
      <c r="C1696" s="709" t="s">
        <v>207</v>
      </c>
      <c r="D1696" s="383" t="s">
        <v>239</v>
      </c>
      <c r="E1696" s="704"/>
      <c r="F1696" s="661">
        <v>20</v>
      </c>
      <c r="G1696" s="701">
        <v>0.3</v>
      </c>
      <c r="H1696" s="663">
        <f t="shared" ref="H1696" si="422">IF(F1696&lt;=30,(1.05*F1696+2.18)*G1696,((1.05*30+2.18)+0.87*(F1696-30))*G1696)</f>
        <v>6.9539999999999997</v>
      </c>
      <c r="I1696" s="380">
        <v>24.94</v>
      </c>
      <c r="J1696" s="631">
        <f>IF(ISBLANK(I1696),"",SUM(H1696:I1696))</f>
        <v>31.894000000000002</v>
      </c>
      <c r="K1696" s="593">
        <f t="shared" si="403"/>
        <v>40.43</v>
      </c>
      <c r="L1696" s="382" t="s">
        <v>18</v>
      </c>
      <c r="M1696" s="30"/>
      <c r="N1696" s="30">
        <v>40.43</v>
      </c>
      <c r="O1696" s="287">
        <f t="shared" si="404"/>
        <v>0</v>
      </c>
      <c r="P1696" s="287">
        <f t="shared" si="405"/>
        <v>0</v>
      </c>
      <c r="Q1696" s="288"/>
      <c r="R1696" s="243"/>
      <c r="S1696" s="378" t="str">
        <f t="shared" si="411"/>
        <v/>
      </c>
      <c r="U1696" s="722"/>
    </row>
    <row r="1697" spans="2:21" hidden="1" x14ac:dyDescent="0.2">
      <c r="B1697" s="771" t="s">
        <v>1732</v>
      </c>
      <c r="C1697" s="596" t="s">
        <v>207</v>
      </c>
      <c r="D1697" s="383" t="s">
        <v>203</v>
      </c>
      <c r="E1697" s="704"/>
      <c r="F1697" s="661">
        <v>0</v>
      </c>
      <c r="G1697" s="665">
        <v>0</v>
      </c>
      <c r="H1697" s="664">
        <v>0</v>
      </c>
      <c r="I1697" s="380">
        <v>0.28000000000000003</v>
      </c>
      <c r="J1697" s="631">
        <f t="shared" si="420"/>
        <v>0.28000000000000003</v>
      </c>
      <c r="K1697" s="593">
        <f t="shared" si="403"/>
        <v>0.35</v>
      </c>
      <c r="L1697" s="382" t="s">
        <v>18</v>
      </c>
      <c r="M1697" s="30"/>
      <c r="N1697" s="30">
        <v>0.35</v>
      </c>
      <c r="O1697" s="287">
        <f>IF(ISBLANK(M1697),0,ROUND(K1697*M1697,2))</f>
        <v>0</v>
      </c>
      <c r="P1697" s="287">
        <f>IF(ISBLANK(N1697),0,ROUND(M1697*N1697,2))</f>
        <v>0</v>
      </c>
      <c r="Q1697" s="288"/>
      <c r="R1697" s="243"/>
      <c r="S1697" s="378" t="str">
        <f t="shared" si="411"/>
        <v/>
      </c>
      <c r="U1697" s="722"/>
    </row>
    <row r="1698" spans="2:21" hidden="1" x14ac:dyDescent="0.2">
      <c r="B1698" s="771" t="s">
        <v>1739</v>
      </c>
      <c r="C1698" s="596" t="s">
        <v>207</v>
      </c>
      <c r="D1698" s="383" t="s">
        <v>499</v>
      </c>
      <c r="E1698" s="704"/>
      <c r="F1698" s="661"/>
      <c r="G1698" s="701"/>
      <c r="H1698" s="664"/>
      <c r="I1698" s="380">
        <v>9.42</v>
      </c>
      <c r="J1698" s="631">
        <f t="shared" si="420"/>
        <v>9.42</v>
      </c>
      <c r="K1698" s="593">
        <f t="shared" si="403"/>
        <v>11.94</v>
      </c>
      <c r="L1698" s="382" t="s">
        <v>18</v>
      </c>
      <c r="M1698" s="30"/>
      <c r="N1698" s="30">
        <v>11.94</v>
      </c>
      <c r="O1698" s="287">
        <f>IF(ISBLANK(M1698),0,ROUND(K1698*M1698,2))</f>
        <v>0</v>
      </c>
      <c r="P1698" s="287">
        <f>IF(ISBLANK(N1698),0,ROUND(M1698*N1698,2))</f>
        <v>0</v>
      </c>
      <c r="Q1698" s="288"/>
      <c r="R1698" s="243"/>
      <c r="S1698" s="378" t="str">
        <f t="shared" si="411"/>
        <v/>
      </c>
      <c r="U1698" s="722"/>
    </row>
    <row r="1699" spans="2:21" hidden="1" x14ac:dyDescent="0.2">
      <c r="B1699" s="771" t="s">
        <v>1740</v>
      </c>
      <c r="C1699" s="596" t="s">
        <v>207</v>
      </c>
      <c r="D1699" s="383" t="s">
        <v>241</v>
      </c>
      <c r="E1699" s="704"/>
      <c r="F1699" s="661"/>
      <c r="G1699" s="701"/>
      <c r="H1699" s="664"/>
      <c r="I1699" s="380">
        <v>13.188000000000001</v>
      </c>
      <c r="J1699" s="380">
        <f t="shared" si="420"/>
        <v>13.188000000000001</v>
      </c>
      <c r="K1699" s="593">
        <f t="shared" si="403"/>
        <v>16.72</v>
      </c>
      <c r="L1699" s="382" t="s">
        <v>18</v>
      </c>
      <c r="M1699" s="30"/>
      <c r="N1699" s="30">
        <v>16.72</v>
      </c>
      <c r="O1699" s="287">
        <f>IF(ISBLANK(M1699),0,ROUND(K1699*M1699,2))</f>
        <v>0</v>
      </c>
      <c r="P1699" s="287">
        <f>IF(ISBLANK(N1699),0,ROUND(M1699*N1699,2))</f>
        <v>0</v>
      </c>
      <c r="Q1699" s="288"/>
      <c r="R1699" s="243"/>
      <c r="S1699" s="378" t="str">
        <f t="shared" si="411"/>
        <v/>
      </c>
      <c r="U1699" s="722"/>
    </row>
    <row r="1700" spans="2:21" hidden="1" x14ac:dyDescent="0.2">
      <c r="B1700" s="608" t="s">
        <v>188</v>
      </c>
      <c r="C1700" s="638"/>
      <c r="D1700" s="386" t="s">
        <v>734</v>
      </c>
      <c r="E1700" s="387"/>
      <c r="F1700" s="388"/>
      <c r="G1700" s="389"/>
      <c r="H1700" s="632"/>
      <c r="I1700" s="391"/>
      <c r="J1700" s="391"/>
      <c r="K1700" s="601"/>
      <c r="L1700" s="391" t="s">
        <v>755</v>
      </c>
      <c r="M1700" s="390"/>
      <c r="N1700" s="391"/>
      <c r="O1700" s="391"/>
      <c r="P1700" s="392"/>
      <c r="Q1700" s="288"/>
      <c r="R1700" s="377" t="str">
        <f>IF(SUM(P1701:P1732)&gt;0,"y","")</f>
        <v/>
      </c>
      <c r="S1700" s="378" t="str">
        <f t="shared" si="411"/>
        <v/>
      </c>
    </row>
    <row r="1701" spans="2:21" hidden="1" x14ac:dyDescent="0.2">
      <c r="B1701" s="609" t="s">
        <v>188</v>
      </c>
      <c r="C1701" s="746" t="s">
        <v>188</v>
      </c>
      <c r="D1701" s="393"/>
      <c r="E1701" s="394"/>
      <c r="F1701" s="402"/>
      <c r="G1701" s="396"/>
      <c r="H1701" s="395"/>
      <c r="I1701" s="397"/>
      <c r="J1701" s="398"/>
      <c r="K1701" s="602">
        <f t="shared" ref="K1701:K1732" si="423">IF(ISBLANK(J1701),0,ROUND(J1701*(1+$F$10)*(1+$F$11*E1701),2))</f>
        <v>0</v>
      </c>
      <c r="L1701" s="400" t="s">
        <v>755</v>
      </c>
      <c r="M1701" s="415"/>
      <c r="N1701" s="415">
        <v>0</v>
      </c>
      <c r="O1701" s="287">
        <f t="shared" ref="O1701" si="424">IF(ISBLANK(M1701),0,ROUND(K1701*M1701,2))</f>
        <v>0</v>
      </c>
      <c r="P1701" s="384">
        <f t="shared" ref="P1701:P1732" si="425">IF(ISBLANK(N1701),0,ROUND(M1701*N1701,2))</f>
        <v>0</v>
      </c>
      <c r="Q1701" s="288"/>
      <c r="R1701" s="243"/>
      <c r="S1701" s="378" t="str">
        <f t="shared" si="411"/>
        <v/>
      </c>
    </row>
    <row r="1702" spans="2:21" hidden="1" x14ac:dyDescent="0.2">
      <c r="B1702" s="609" t="s">
        <v>188</v>
      </c>
      <c r="C1702" s="746" t="s">
        <v>188</v>
      </c>
      <c r="D1702" s="401"/>
      <c r="E1702" s="394"/>
      <c r="F1702" s="402"/>
      <c r="G1702" s="396"/>
      <c r="H1702" s="395"/>
      <c r="I1702" s="397"/>
      <c r="J1702" s="398"/>
      <c r="K1702" s="603">
        <f t="shared" si="423"/>
        <v>0</v>
      </c>
      <c r="L1702" s="400" t="s">
        <v>755</v>
      </c>
      <c r="M1702" s="30"/>
      <c r="N1702" s="30">
        <v>0</v>
      </c>
      <c r="O1702" s="287">
        <f>IF(ISBLANK(M1702),0,ROUND(K1702*M1702,2))</f>
        <v>0</v>
      </c>
      <c r="P1702" s="287">
        <f t="shared" si="425"/>
        <v>0</v>
      </c>
      <c r="Q1702" s="288"/>
      <c r="R1702" s="243"/>
      <c r="S1702" s="378" t="str">
        <f t="shared" si="411"/>
        <v/>
      </c>
    </row>
    <row r="1703" spans="2:21" hidden="1" x14ac:dyDescent="0.2">
      <c r="B1703" s="609" t="s">
        <v>188</v>
      </c>
      <c r="C1703" s="746" t="s">
        <v>188</v>
      </c>
      <c r="D1703" s="401"/>
      <c r="E1703" s="394"/>
      <c r="F1703" s="402"/>
      <c r="G1703" s="396"/>
      <c r="H1703" s="395"/>
      <c r="I1703" s="397"/>
      <c r="J1703" s="398"/>
      <c r="K1703" s="603">
        <f t="shared" si="423"/>
        <v>0</v>
      </c>
      <c r="L1703" s="400" t="s">
        <v>755</v>
      </c>
      <c r="M1703" s="30"/>
      <c r="N1703" s="30">
        <v>0</v>
      </c>
      <c r="O1703" s="287">
        <f t="shared" ref="O1703:O1732" si="426">IF(ISBLANK(M1703),0,ROUND(K1703*M1703,2))</f>
        <v>0</v>
      </c>
      <c r="P1703" s="287">
        <f t="shared" si="425"/>
        <v>0</v>
      </c>
      <c r="Q1703" s="288"/>
      <c r="R1703" s="243"/>
      <c r="S1703" s="378" t="str">
        <f t="shared" si="411"/>
        <v/>
      </c>
    </row>
    <row r="1704" spans="2:21" hidden="1" x14ac:dyDescent="0.2">
      <c r="B1704" s="609" t="s">
        <v>188</v>
      </c>
      <c r="C1704" s="746" t="s">
        <v>188</v>
      </c>
      <c r="D1704" s="401"/>
      <c r="E1704" s="394"/>
      <c r="F1704" s="402"/>
      <c r="G1704" s="396"/>
      <c r="H1704" s="395"/>
      <c r="I1704" s="397"/>
      <c r="J1704" s="398"/>
      <c r="K1704" s="603">
        <f t="shared" si="423"/>
        <v>0</v>
      </c>
      <c r="L1704" s="400" t="s">
        <v>755</v>
      </c>
      <c r="M1704" s="30"/>
      <c r="N1704" s="30">
        <v>0</v>
      </c>
      <c r="O1704" s="287">
        <f t="shared" si="426"/>
        <v>0</v>
      </c>
      <c r="P1704" s="287">
        <f t="shared" si="425"/>
        <v>0</v>
      </c>
      <c r="Q1704" s="288"/>
      <c r="R1704" s="243"/>
      <c r="S1704" s="378" t="str">
        <f t="shared" si="411"/>
        <v/>
      </c>
    </row>
    <row r="1705" spans="2:21" hidden="1" x14ac:dyDescent="0.2">
      <c r="B1705" s="609" t="s">
        <v>188</v>
      </c>
      <c r="C1705" s="746" t="s">
        <v>188</v>
      </c>
      <c r="D1705" s="401"/>
      <c r="E1705" s="394"/>
      <c r="F1705" s="402"/>
      <c r="G1705" s="396"/>
      <c r="H1705" s="395"/>
      <c r="I1705" s="397"/>
      <c r="J1705" s="398"/>
      <c r="K1705" s="603">
        <f t="shared" si="423"/>
        <v>0</v>
      </c>
      <c r="L1705" s="400" t="s">
        <v>755</v>
      </c>
      <c r="M1705" s="30"/>
      <c r="N1705" s="30">
        <v>0</v>
      </c>
      <c r="O1705" s="287">
        <f t="shared" si="426"/>
        <v>0</v>
      </c>
      <c r="P1705" s="287">
        <f t="shared" si="425"/>
        <v>0</v>
      </c>
      <c r="Q1705" s="288"/>
      <c r="R1705" s="243"/>
      <c r="S1705" s="378" t="str">
        <f t="shared" si="411"/>
        <v/>
      </c>
    </row>
    <row r="1706" spans="2:21" hidden="1" x14ac:dyDescent="0.2">
      <c r="B1706" s="609" t="s">
        <v>188</v>
      </c>
      <c r="C1706" s="746" t="s">
        <v>188</v>
      </c>
      <c r="D1706" s="401"/>
      <c r="E1706" s="394"/>
      <c r="F1706" s="402"/>
      <c r="G1706" s="396"/>
      <c r="H1706" s="395"/>
      <c r="I1706" s="397"/>
      <c r="J1706" s="398"/>
      <c r="K1706" s="603">
        <f t="shared" si="423"/>
        <v>0</v>
      </c>
      <c r="L1706" s="400" t="s">
        <v>755</v>
      </c>
      <c r="M1706" s="30"/>
      <c r="N1706" s="30">
        <v>0</v>
      </c>
      <c r="O1706" s="287">
        <f t="shared" si="426"/>
        <v>0</v>
      </c>
      <c r="P1706" s="287">
        <f t="shared" si="425"/>
        <v>0</v>
      </c>
      <c r="Q1706" s="288"/>
      <c r="R1706" s="243"/>
      <c r="S1706" s="378" t="str">
        <f t="shared" si="411"/>
        <v/>
      </c>
    </row>
    <row r="1707" spans="2:21" hidden="1" x14ac:dyDescent="0.2">
      <c r="B1707" s="609" t="s">
        <v>188</v>
      </c>
      <c r="C1707" s="746" t="s">
        <v>188</v>
      </c>
      <c r="D1707" s="401"/>
      <c r="E1707" s="394"/>
      <c r="F1707" s="402"/>
      <c r="G1707" s="396"/>
      <c r="H1707" s="395"/>
      <c r="I1707" s="397"/>
      <c r="J1707" s="398"/>
      <c r="K1707" s="603">
        <f t="shared" si="423"/>
        <v>0</v>
      </c>
      <c r="L1707" s="400" t="s">
        <v>755</v>
      </c>
      <c r="M1707" s="30"/>
      <c r="N1707" s="30">
        <v>0</v>
      </c>
      <c r="O1707" s="287">
        <f t="shared" si="426"/>
        <v>0</v>
      </c>
      <c r="P1707" s="287">
        <f t="shared" si="425"/>
        <v>0</v>
      </c>
      <c r="Q1707" s="288"/>
      <c r="R1707" s="243"/>
      <c r="S1707" s="378" t="str">
        <f t="shared" si="411"/>
        <v/>
      </c>
    </row>
    <row r="1708" spans="2:21" hidden="1" x14ac:dyDescent="0.2">
      <c r="B1708" s="609" t="s">
        <v>188</v>
      </c>
      <c r="C1708" s="746" t="s">
        <v>188</v>
      </c>
      <c r="D1708" s="401"/>
      <c r="E1708" s="394"/>
      <c r="F1708" s="402"/>
      <c r="G1708" s="396"/>
      <c r="H1708" s="395"/>
      <c r="I1708" s="397"/>
      <c r="J1708" s="398"/>
      <c r="K1708" s="603">
        <f t="shared" si="423"/>
        <v>0</v>
      </c>
      <c r="L1708" s="400" t="s">
        <v>755</v>
      </c>
      <c r="M1708" s="30"/>
      <c r="N1708" s="30">
        <v>0</v>
      </c>
      <c r="O1708" s="287">
        <f t="shared" si="426"/>
        <v>0</v>
      </c>
      <c r="P1708" s="287">
        <f t="shared" si="425"/>
        <v>0</v>
      </c>
      <c r="Q1708" s="288"/>
      <c r="R1708" s="243"/>
      <c r="S1708" s="378" t="str">
        <f t="shared" si="411"/>
        <v/>
      </c>
    </row>
    <row r="1709" spans="2:21" hidden="1" x14ac:dyDescent="0.2">
      <c r="B1709" s="609" t="s">
        <v>188</v>
      </c>
      <c r="C1709" s="746" t="s">
        <v>188</v>
      </c>
      <c r="D1709" s="401"/>
      <c r="E1709" s="394"/>
      <c r="F1709" s="402"/>
      <c r="G1709" s="396"/>
      <c r="H1709" s="395"/>
      <c r="I1709" s="397"/>
      <c r="J1709" s="398"/>
      <c r="K1709" s="603">
        <f t="shared" si="423"/>
        <v>0</v>
      </c>
      <c r="L1709" s="400" t="s">
        <v>755</v>
      </c>
      <c r="M1709" s="30"/>
      <c r="N1709" s="30">
        <v>0</v>
      </c>
      <c r="O1709" s="287">
        <f t="shared" si="426"/>
        <v>0</v>
      </c>
      <c r="P1709" s="287">
        <f t="shared" si="425"/>
        <v>0</v>
      </c>
      <c r="Q1709" s="288"/>
      <c r="R1709" s="243"/>
      <c r="S1709" s="378" t="str">
        <f t="shared" si="411"/>
        <v/>
      </c>
    </row>
    <row r="1710" spans="2:21" hidden="1" x14ac:dyDescent="0.2">
      <c r="B1710" s="609" t="s">
        <v>188</v>
      </c>
      <c r="C1710" s="746" t="s">
        <v>188</v>
      </c>
      <c r="D1710" s="401"/>
      <c r="E1710" s="394"/>
      <c r="F1710" s="402"/>
      <c r="G1710" s="396"/>
      <c r="H1710" s="395"/>
      <c r="I1710" s="397"/>
      <c r="J1710" s="398"/>
      <c r="K1710" s="603">
        <f t="shared" si="423"/>
        <v>0</v>
      </c>
      <c r="L1710" s="400" t="s">
        <v>755</v>
      </c>
      <c r="M1710" s="30"/>
      <c r="N1710" s="30">
        <v>0</v>
      </c>
      <c r="O1710" s="287">
        <f t="shared" si="426"/>
        <v>0</v>
      </c>
      <c r="P1710" s="287">
        <f t="shared" si="425"/>
        <v>0</v>
      </c>
      <c r="Q1710" s="288"/>
      <c r="R1710" s="243"/>
      <c r="S1710" s="378" t="str">
        <f t="shared" si="411"/>
        <v/>
      </c>
    </row>
    <row r="1711" spans="2:21" hidden="1" x14ac:dyDescent="0.2">
      <c r="B1711" s="609" t="s">
        <v>188</v>
      </c>
      <c r="C1711" s="746" t="s">
        <v>188</v>
      </c>
      <c r="D1711" s="401"/>
      <c r="E1711" s="394"/>
      <c r="F1711" s="402"/>
      <c r="G1711" s="396"/>
      <c r="H1711" s="395"/>
      <c r="I1711" s="397"/>
      <c r="J1711" s="398"/>
      <c r="K1711" s="603">
        <f t="shared" si="423"/>
        <v>0</v>
      </c>
      <c r="L1711" s="400" t="s">
        <v>755</v>
      </c>
      <c r="M1711" s="30"/>
      <c r="N1711" s="30">
        <v>0</v>
      </c>
      <c r="O1711" s="287">
        <f t="shared" si="426"/>
        <v>0</v>
      </c>
      <c r="P1711" s="287">
        <f t="shared" si="425"/>
        <v>0</v>
      </c>
      <c r="Q1711" s="288"/>
      <c r="R1711" s="243"/>
      <c r="S1711" s="378" t="str">
        <f t="shared" si="411"/>
        <v/>
      </c>
    </row>
    <row r="1712" spans="2:21" hidden="1" x14ac:dyDescent="0.2">
      <c r="B1712" s="609" t="s">
        <v>188</v>
      </c>
      <c r="C1712" s="746" t="s">
        <v>188</v>
      </c>
      <c r="D1712" s="401"/>
      <c r="E1712" s="394"/>
      <c r="F1712" s="402"/>
      <c r="G1712" s="396"/>
      <c r="H1712" s="395"/>
      <c r="I1712" s="397"/>
      <c r="J1712" s="398"/>
      <c r="K1712" s="603">
        <f t="shared" si="423"/>
        <v>0</v>
      </c>
      <c r="L1712" s="400" t="s">
        <v>755</v>
      </c>
      <c r="M1712" s="30"/>
      <c r="N1712" s="30">
        <v>0</v>
      </c>
      <c r="O1712" s="287">
        <f t="shared" si="426"/>
        <v>0</v>
      </c>
      <c r="P1712" s="287">
        <f t="shared" si="425"/>
        <v>0</v>
      </c>
      <c r="Q1712" s="288"/>
      <c r="R1712" s="243"/>
      <c r="S1712" s="378" t="str">
        <f t="shared" si="411"/>
        <v/>
      </c>
    </row>
    <row r="1713" spans="2:19" hidden="1" x14ac:dyDescent="0.2">
      <c r="B1713" s="609" t="s">
        <v>188</v>
      </c>
      <c r="C1713" s="746" t="s">
        <v>188</v>
      </c>
      <c r="D1713" s="401"/>
      <c r="E1713" s="394"/>
      <c r="F1713" s="402"/>
      <c r="G1713" s="396"/>
      <c r="H1713" s="395"/>
      <c r="I1713" s="397"/>
      <c r="J1713" s="398"/>
      <c r="K1713" s="603">
        <f t="shared" si="423"/>
        <v>0</v>
      </c>
      <c r="L1713" s="400" t="s">
        <v>755</v>
      </c>
      <c r="M1713" s="30"/>
      <c r="N1713" s="30">
        <v>0</v>
      </c>
      <c r="O1713" s="287">
        <f t="shared" si="426"/>
        <v>0</v>
      </c>
      <c r="P1713" s="287">
        <f t="shared" si="425"/>
        <v>0</v>
      </c>
      <c r="Q1713" s="288"/>
      <c r="R1713" s="243"/>
      <c r="S1713" s="378" t="str">
        <f t="shared" si="411"/>
        <v/>
      </c>
    </row>
    <row r="1714" spans="2:19" hidden="1" x14ac:dyDescent="0.2">
      <c r="B1714" s="609" t="s">
        <v>188</v>
      </c>
      <c r="C1714" s="746" t="s">
        <v>188</v>
      </c>
      <c r="D1714" s="401"/>
      <c r="E1714" s="394"/>
      <c r="F1714" s="402"/>
      <c r="G1714" s="396"/>
      <c r="H1714" s="395"/>
      <c r="I1714" s="397"/>
      <c r="J1714" s="398"/>
      <c r="K1714" s="603">
        <f t="shared" si="423"/>
        <v>0</v>
      </c>
      <c r="L1714" s="400" t="s">
        <v>755</v>
      </c>
      <c r="M1714" s="30"/>
      <c r="N1714" s="30">
        <v>0</v>
      </c>
      <c r="O1714" s="287">
        <f t="shared" si="426"/>
        <v>0</v>
      </c>
      <c r="P1714" s="287">
        <f t="shared" si="425"/>
        <v>0</v>
      </c>
      <c r="Q1714" s="288"/>
      <c r="R1714" s="243"/>
      <c r="S1714" s="378" t="str">
        <f t="shared" si="411"/>
        <v/>
      </c>
    </row>
    <row r="1715" spans="2:19" hidden="1" x14ac:dyDescent="0.2">
      <c r="B1715" s="609" t="s">
        <v>188</v>
      </c>
      <c r="C1715" s="746" t="s">
        <v>188</v>
      </c>
      <c r="D1715" s="401"/>
      <c r="E1715" s="394"/>
      <c r="F1715" s="402"/>
      <c r="G1715" s="396"/>
      <c r="H1715" s="395"/>
      <c r="I1715" s="397"/>
      <c r="J1715" s="398"/>
      <c r="K1715" s="603">
        <f t="shared" si="423"/>
        <v>0</v>
      </c>
      <c r="L1715" s="400" t="s">
        <v>755</v>
      </c>
      <c r="M1715" s="30"/>
      <c r="N1715" s="30">
        <v>0</v>
      </c>
      <c r="O1715" s="287">
        <f t="shared" si="426"/>
        <v>0</v>
      </c>
      <c r="P1715" s="287">
        <f t="shared" si="425"/>
        <v>0</v>
      </c>
      <c r="Q1715" s="288"/>
      <c r="R1715" s="243"/>
      <c r="S1715" s="378" t="str">
        <f t="shared" si="411"/>
        <v/>
      </c>
    </row>
    <row r="1716" spans="2:19" hidden="1" x14ac:dyDescent="0.2">
      <c r="B1716" s="609" t="s">
        <v>188</v>
      </c>
      <c r="C1716" s="746" t="s">
        <v>188</v>
      </c>
      <c r="D1716" s="401"/>
      <c r="E1716" s="394"/>
      <c r="F1716" s="402"/>
      <c r="G1716" s="396"/>
      <c r="H1716" s="395"/>
      <c r="I1716" s="397"/>
      <c r="J1716" s="398"/>
      <c r="K1716" s="603">
        <f t="shared" si="423"/>
        <v>0</v>
      </c>
      <c r="L1716" s="400" t="s">
        <v>755</v>
      </c>
      <c r="M1716" s="30"/>
      <c r="N1716" s="30">
        <v>0</v>
      </c>
      <c r="O1716" s="287">
        <f t="shared" si="426"/>
        <v>0</v>
      </c>
      <c r="P1716" s="287">
        <f t="shared" si="425"/>
        <v>0</v>
      </c>
      <c r="Q1716" s="288"/>
      <c r="R1716" s="243"/>
      <c r="S1716" s="378" t="str">
        <f t="shared" si="411"/>
        <v/>
      </c>
    </row>
    <row r="1717" spans="2:19" hidden="1" x14ac:dyDescent="0.2">
      <c r="B1717" s="609" t="s">
        <v>188</v>
      </c>
      <c r="C1717" s="746" t="s">
        <v>188</v>
      </c>
      <c r="D1717" s="401"/>
      <c r="E1717" s="394"/>
      <c r="F1717" s="402"/>
      <c r="G1717" s="396"/>
      <c r="H1717" s="395"/>
      <c r="I1717" s="397"/>
      <c r="J1717" s="398"/>
      <c r="K1717" s="603">
        <f t="shared" si="423"/>
        <v>0</v>
      </c>
      <c r="L1717" s="400" t="s">
        <v>755</v>
      </c>
      <c r="M1717" s="30"/>
      <c r="N1717" s="30">
        <v>0</v>
      </c>
      <c r="O1717" s="287">
        <f t="shared" si="426"/>
        <v>0</v>
      </c>
      <c r="P1717" s="287">
        <f t="shared" si="425"/>
        <v>0</v>
      </c>
      <c r="Q1717" s="288"/>
      <c r="R1717" s="243"/>
      <c r="S1717" s="378" t="str">
        <f t="shared" si="411"/>
        <v/>
      </c>
    </row>
    <row r="1718" spans="2:19" hidden="1" x14ac:dyDescent="0.2">
      <c r="B1718" s="609" t="s">
        <v>188</v>
      </c>
      <c r="C1718" s="746" t="s">
        <v>188</v>
      </c>
      <c r="D1718" s="401"/>
      <c r="E1718" s="394"/>
      <c r="F1718" s="402"/>
      <c r="G1718" s="396"/>
      <c r="H1718" s="395"/>
      <c r="I1718" s="397"/>
      <c r="J1718" s="398"/>
      <c r="K1718" s="603">
        <f t="shared" si="423"/>
        <v>0</v>
      </c>
      <c r="L1718" s="400" t="s">
        <v>755</v>
      </c>
      <c r="M1718" s="30"/>
      <c r="N1718" s="30">
        <v>0</v>
      </c>
      <c r="O1718" s="287">
        <f t="shared" si="426"/>
        <v>0</v>
      </c>
      <c r="P1718" s="287">
        <f t="shared" si="425"/>
        <v>0</v>
      </c>
      <c r="Q1718" s="288"/>
      <c r="R1718" s="243"/>
      <c r="S1718" s="378" t="str">
        <f t="shared" si="411"/>
        <v/>
      </c>
    </row>
    <row r="1719" spans="2:19" hidden="1" x14ac:dyDescent="0.2">
      <c r="B1719" s="609" t="s">
        <v>188</v>
      </c>
      <c r="C1719" s="746" t="s">
        <v>188</v>
      </c>
      <c r="D1719" s="401"/>
      <c r="E1719" s="394"/>
      <c r="F1719" s="402"/>
      <c r="G1719" s="396"/>
      <c r="H1719" s="395"/>
      <c r="I1719" s="397"/>
      <c r="J1719" s="398"/>
      <c r="K1719" s="603">
        <f t="shared" si="423"/>
        <v>0</v>
      </c>
      <c r="L1719" s="400" t="s">
        <v>755</v>
      </c>
      <c r="M1719" s="30"/>
      <c r="N1719" s="30">
        <v>0</v>
      </c>
      <c r="O1719" s="287">
        <f t="shared" si="426"/>
        <v>0</v>
      </c>
      <c r="P1719" s="287">
        <f t="shared" si="425"/>
        <v>0</v>
      </c>
      <c r="Q1719" s="288"/>
      <c r="R1719" s="243"/>
      <c r="S1719" s="378" t="str">
        <f t="shared" ref="S1719:S1784" si="427">IF(R1719="x","x",IF(R1719="y","x",IF(R1719="xy","x",IF(P1719&gt;0,"x",""))))</f>
        <v/>
      </c>
    </row>
    <row r="1720" spans="2:19" hidden="1" x14ac:dyDescent="0.2">
      <c r="B1720" s="609" t="s">
        <v>188</v>
      </c>
      <c r="C1720" s="746" t="s">
        <v>188</v>
      </c>
      <c r="D1720" s="401"/>
      <c r="E1720" s="394"/>
      <c r="F1720" s="402"/>
      <c r="G1720" s="396"/>
      <c r="H1720" s="395"/>
      <c r="I1720" s="397"/>
      <c r="J1720" s="398"/>
      <c r="K1720" s="603">
        <f t="shared" si="423"/>
        <v>0</v>
      </c>
      <c r="L1720" s="400" t="s">
        <v>755</v>
      </c>
      <c r="M1720" s="30"/>
      <c r="N1720" s="30">
        <v>0</v>
      </c>
      <c r="O1720" s="287">
        <f t="shared" si="426"/>
        <v>0</v>
      </c>
      <c r="P1720" s="287">
        <f t="shared" si="425"/>
        <v>0</v>
      </c>
      <c r="Q1720" s="288"/>
      <c r="R1720" s="243"/>
      <c r="S1720" s="378" t="str">
        <f t="shared" si="427"/>
        <v/>
      </c>
    </row>
    <row r="1721" spans="2:19" hidden="1" x14ac:dyDescent="0.2">
      <c r="B1721" s="609" t="s">
        <v>188</v>
      </c>
      <c r="C1721" s="746" t="s">
        <v>188</v>
      </c>
      <c r="D1721" s="401"/>
      <c r="E1721" s="394"/>
      <c r="F1721" s="402"/>
      <c r="G1721" s="396"/>
      <c r="H1721" s="395"/>
      <c r="I1721" s="397"/>
      <c r="J1721" s="398"/>
      <c r="K1721" s="603">
        <f t="shared" si="423"/>
        <v>0</v>
      </c>
      <c r="L1721" s="400" t="s">
        <v>755</v>
      </c>
      <c r="M1721" s="30"/>
      <c r="N1721" s="30">
        <v>0</v>
      </c>
      <c r="O1721" s="287">
        <f t="shared" si="426"/>
        <v>0</v>
      </c>
      <c r="P1721" s="287">
        <f t="shared" si="425"/>
        <v>0</v>
      </c>
      <c r="Q1721" s="288"/>
      <c r="R1721" s="243"/>
      <c r="S1721" s="378" t="str">
        <f t="shared" si="427"/>
        <v/>
      </c>
    </row>
    <row r="1722" spans="2:19" hidden="1" x14ac:dyDescent="0.2">
      <c r="B1722" s="609" t="s">
        <v>188</v>
      </c>
      <c r="C1722" s="746" t="s">
        <v>188</v>
      </c>
      <c r="D1722" s="401"/>
      <c r="E1722" s="394"/>
      <c r="F1722" s="402"/>
      <c r="G1722" s="396"/>
      <c r="H1722" s="395"/>
      <c r="I1722" s="397"/>
      <c r="J1722" s="398"/>
      <c r="K1722" s="603">
        <f t="shared" si="423"/>
        <v>0</v>
      </c>
      <c r="L1722" s="400" t="s">
        <v>755</v>
      </c>
      <c r="M1722" s="30"/>
      <c r="N1722" s="30">
        <v>0</v>
      </c>
      <c r="O1722" s="287">
        <f t="shared" si="426"/>
        <v>0</v>
      </c>
      <c r="P1722" s="287">
        <f t="shared" si="425"/>
        <v>0</v>
      </c>
      <c r="Q1722" s="288"/>
      <c r="R1722" s="243"/>
      <c r="S1722" s="378" t="str">
        <f t="shared" si="427"/>
        <v/>
      </c>
    </row>
    <row r="1723" spans="2:19" hidden="1" x14ac:dyDescent="0.2">
      <c r="B1723" s="609" t="s">
        <v>188</v>
      </c>
      <c r="C1723" s="746" t="s">
        <v>188</v>
      </c>
      <c r="D1723" s="401"/>
      <c r="E1723" s="394"/>
      <c r="F1723" s="402"/>
      <c r="G1723" s="396"/>
      <c r="H1723" s="395"/>
      <c r="I1723" s="397"/>
      <c r="J1723" s="398"/>
      <c r="K1723" s="603">
        <f t="shared" si="423"/>
        <v>0</v>
      </c>
      <c r="L1723" s="400" t="s">
        <v>755</v>
      </c>
      <c r="M1723" s="30"/>
      <c r="N1723" s="30">
        <v>0</v>
      </c>
      <c r="O1723" s="287">
        <f t="shared" si="426"/>
        <v>0</v>
      </c>
      <c r="P1723" s="287">
        <f t="shared" si="425"/>
        <v>0</v>
      </c>
      <c r="Q1723" s="288"/>
      <c r="R1723" s="243"/>
      <c r="S1723" s="378" t="str">
        <f t="shared" si="427"/>
        <v/>
      </c>
    </row>
    <row r="1724" spans="2:19" hidden="1" x14ac:dyDescent="0.2">
      <c r="B1724" s="609" t="s">
        <v>188</v>
      </c>
      <c r="C1724" s="746" t="s">
        <v>188</v>
      </c>
      <c r="D1724" s="401"/>
      <c r="E1724" s="394"/>
      <c r="F1724" s="402"/>
      <c r="G1724" s="396"/>
      <c r="H1724" s="395"/>
      <c r="I1724" s="397"/>
      <c r="J1724" s="398"/>
      <c r="K1724" s="603">
        <f t="shared" si="423"/>
        <v>0</v>
      </c>
      <c r="L1724" s="400" t="s">
        <v>755</v>
      </c>
      <c r="M1724" s="30"/>
      <c r="N1724" s="30">
        <v>0</v>
      </c>
      <c r="O1724" s="287">
        <f t="shared" si="426"/>
        <v>0</v>
      </c>
      <c r="P1724" s="287">
        <f t="shared" si="425"/>
        <v>0</v>
      </c>
      <c r="Q1724" s="288"/>
      <c r="R1724" s="243"/>
      <c r="S1724" s="378" t="str">
        <f t="shared" si="427"/>
        <v/>
      </c>
    </row>
    <row r="1725" spans="2:19" hidden="1" x14ac:dyDescent="0.2">
      <c r="B1725" s="609" t="s">
        <v>188</v>
      </c>
      <c r="C1725" s="746" t="s">
        <v>188</v>
      </c>
      <c r="D1725" s="401"/>
      <c r="E1725" s="394"/>
      <c r="F1725" s="402"/>
      <c r="G1725" s="396"/>
      <c r="H1725" s="395"/>
      <c r="I1725" s="397"/>
      <c r="J1725" s="398"/>
      <c r="K1725" s="603">
        <f t="shared" si="423"/>
        <v>0</v>
      </c>
      <c r="L1725" s="400" t="s">
        <v>755</v>
      </c>
      <c r="M1725" s="30"/>
      <c r="N1725" s="30">
        <v>0</v>
      </c>
      <c r="O1725" s="287">
        <f t="shared" si="426"/>
        <v>0</v>
      </c>
      <c r="P1725" s="287">
        <f t="shared" si="425"/>
        <v>0</v>
      </c>
      <c r="Q1725" s="288"/>
      <c r="R1725" s="243"/>
      <c r="S1725" s="378" t="str">
        <f t="shared" si="427"/>
        <v/>
      </c>
    </row>
    <row r="1726" spans="2:19" hidden="1" x14ac:dyDescent="0.2">
      <c r="B1726" s="609" t="s">
        <v>188</v>
      </c>
      <c r="C1726" s="746" t="s">
        <v>188</v>
      </c>
      <c r="D1726" s="401"/>
      <c r="E1726" s="394"/>
      <c r="F1726" s="402"/>
      <c r="G1726" s="396"/>
      <c r="H1726" s="395"/>
      <c r="I1726" s="397"/>
      <c r="J1726" s="398"/>
      <c r="K1726" s="603">
        <f t="shared" si="423"/>
        <v>0</v>
      </c>
      <c r="L1726" s="400" t="s">
        <v>755</v>
      </c>
      <c r="M1726" s="30"/>
      <c r="N1726" s="30">
        <v>0</v>
      </c>
      <c r="O1726" s="287">
        <f t="shared" si="426"/>
        <v>0</v>
      </c>
      <c r="P1726" s="287">
        <f t="shared" si="425"/>
        <v>0</v>
      </c>
      <c r="Q1726" s="288"/>
      <c r="R1726" s="243"/>
      <c r="S1726" s="378" t="str">
        <f t="shared" si="427"/>
        <v/>
      </c>
    </row>
    <row r="1727" spans="2:19" hidden="1" x14ac:dyDescent="0.2">
      <c r="B1727" s="609" t="s">
        <v>188</v>
      </c>
      <c r="C1727" s="746" t="s">
        <v>188</v>
      </c>
      <c r="D1727" s="401"/>
      <c r="E1727" s="394"/>
      <c r="F1727" s="402"/>
      <c r="G1727" s="396"/>
      <c r="H1727" s="395"/>
      <c r="I1727" s="397"/>
      <c r="J1727" s="398"/>
      <c r="K1727" s="603">
        <f t="shared" si="423"/>
        <v>0</v>
      </c>
      <c r="L1727" s="400" t="s">
        <v>755</v>
      </c>
      <c r="M1727" s="30"/>
      <c r="N1727" s="30">
        <v>0</v>
      </c>
      <c r="O1727" s="287">
        <f t="shared" si="426"/>
        <v>0</v>
      </c>
      <c r="P1727" s="287">
        <f t="shared" si="425"/>
        <v>0</v>
      </c>
      <c r="Q1727" s="288"/>
      <c r="R1727" s="243"/>
      <c r="S1727" s="378" t="str">
        <f t="shared" si="427"/>
        <v/>
      </c>
    </row>
    <row r="1728" spans="2:19" hidden="1" x14ac:dyDescent="0.2">
      <c r="B1728" s="609" t="s">
        <v>188</v>
      </c>
      <c r="C1728" s="746" t="s">
        <v>188</v>
      </c>
      <c r="D1728" s="401"/>
      <c r="E1728" s="394"/>
      <c r="F1728" s="402"/>
      <c r="G1728" s="396"/>
      <c r="H1728" s="395"/>
      <c r="I1728" s="397"/>
      <c r="J1728" s="398"/>
      <c r="K1728" s="603">
        <f t="shared" si="423"/>
        <v>0</v>
      </c>
      <c r="L1728" s="400" t="s">
        <v>755</v>
      </c>
      <c r="M1728" s="30"/>
      <c r="N1728" s="30">
        <v>0</v>
      </c>
      <c r="O1728" s="287">
        <f t="shared" si="426"/>
        <v>0</v>
      </c>
      <c r="P1728" s="287">
        <f t="shared" si="425"/>
        <v>0</v>
      </c>
      <c r="Q1728" s="288"/>
      <c r="R1728" s="243"/>
      <c r="S1728" s="378" t="str">
        <f t="shared" si="427"/>
        <v/>
      </c>
    </row>
    <row r="1729" spans="2:19" hidden="1" x14ac:dyDescent="0.2">
      <c r="B1729" s="609" t="s">
        <v>188</v>
      </c>
      <c r="C1729" s="746" t="s">
        <v>188</v>
      </c>
      <c r="D1729" s="401"/>
      <c r="E1729" s="394"/>
      <c r="F1729" s="402"/>
      <c r="G1729" s="396"/>
      <c r="H1729" s="395"/>
      <c r="I1729" s="397"/>
      <c r="J1729" s="398"/>
      <c r="K1729" s="603">
        <f t="shared" si="423"/>
        <v>0</v>
      </c>
      <c r="L1729" s="400" t="s">
        <v>755</v>
      </c>
      <c r="M1729" s="30"/>
      <c r="N1729" s="30">
        <v>0</v>
      </c>
      <c r="O1729" s="287">
        <f t="shared" si="426"/>
        <v>0</v>
      </c>
      <c r="P1729" s="287">
        <f t="shared" si="425"/>
        <v>0</v>
      </c>
      <c r="Q1729" s="288"/>
      <c r="R1729" s="243"/>
      <c r="S1729" s="378" t="str">
        <f t="shared" si="427"/>
        <v/>
      </c>
    </row>
    <row r="1730" spans="2:19" hidden="1" x14ac:dyDescent="0.2">
      <c r="B1730" s="609" t="s">
        <v>188</v>
      </c>
      <c r="C1730" s="746" t="s">
        <v>188</v>
      </c>
      <c r="D1730" s="401"/>
      <c r="E1730" s="394"/>
      <c r="F1730" s="402"/>
      <c r="G1730" s="396"/>
      <c r="H1730" s="395"/>
      <c r="I1730" s="397"/>
      <c r="J1730" s="398"/>
      <c r="K1730" s="603">
        <f t="shared" si="423"/>
        <v>0</v>
      </c>
      <c r="L1730" s="400" t="s">
        <v>755</v>
      </c>
      <c r="M1730" s="30"/>
      <c r="N1730" s="30">
        <v>0</v>
      </c>
      <c r="O1730" s="287">
        <f t="shared" si="426"/>
        <v>0</v>
      </c>
      <c r="P1730" s="287">
        <f t="shared" si="425"/>
        <v>0</v>
      </c>
      <c r="Q1730" s="288"/>
      <c r="R1730" s="243"/>
      <c r="S1730" s="378" t="str">
        <f t="shared" si="427"/>
        <v/>
      </c>
    </row>
    <row r="1731" spans="2:19" hidden="1" x14ac:dyDescent="0.2">
      <c r="B1731" s="609" t="s">
        <v>188</v>
      </c>
      <c r="C1731" s="746" t="s">
        <v>188</v>
      </c>
      <c r="D1731" s="401"/>
      <c r="E1731" s="394"/>
      <c r="F1731" s="402"/>
      <c r="G1731" s="396"/>
      <c r="H1731" s="395"/>
      <c r="I1731" s="397"/>
      <c r="J1731" s="398"/>
      <c r="K1731" s="603">
        <f t="shared" si="423"/>
        <v>0</v>
      </c>
      <c r="L1731" s="400" t="s">
        <v>755</v>
      </c>
      <c r="M1731" s="30"/>
      <c r="N1731" s="30">
        <v>0</v>
      </c>
      <c r="O1731" s="287">
        <f t="shared" si="426"/>
        <v>0</v>
      </c>
      <c r="P1731" s="287">
        <f t="shared" si="425"/>
        <v>0</v>
      </c>
      <c r="Q1731" s="288"/>
      <c r="R1731" s="243"/>
      <c r="S1731" s="378" t="str">
        <f t="shared" si="427"/>
        <v/>
      </c>
    </row>
    <row r="1732" spans="2:19" ht="13.5" hidden="1" thickBot="1" x14ac:dyDescent="0.25">
      <c r="B1732" s="610" t="s">
        <v>188</v>
      </c>
      <c r="C1732" s="747" t="s">
        <v>188</v>
      </c>
      <c r="D1732" s="404"/>
      <c r="E1732" s="405"/>
      <c r="F1732" s="406"/>
      <c r="G1732" s="407"/>
      <c r="H1732" s="408"/>
      <c r="I1732" s="409"/>
      <c r="J1732" s="410"/>
      <c r="K1732" s="604">
        <f t="shared" si="423"/>
        <v>0</v>
      </c>
      <c r="L1732" s="412" t="s">
        <v>755</v>
      </c>
      <c r="M1732" s="30"/>
      <c r="N1732" s="30">
        <v>0</v>
      </c>
      <c r="O1732" s="413">
        <f t="shared" si="426"/>
        <v>0</v>
      </c>
      <c r="P1732" s="413">
        <f t="shared" si="425"/>
        <v>0</v>
      </c>
      <c r="Q1732" s="288"/>
      <c r="R1732" s="243"/>
      <c r="S1732" s="378" t="str">
        <f t="shared" si="427"/>
        <v/>
      </c>
    </row>
    <row r="1733" spans="2:19" ht="13.5" thickBot="1" x14ac:dyDescent="0.25">
      <c r="B1733" s="611" t="s">
        <v>228</v>
      </c>
      <c r="C1733" s="636"/>
      <c r="D1733" s="637" t="s">
        <v>476</v>
      </c>
      <c r="E1733" s="635"/>
      <c r="F1733" s="626"/>
      <c r="G1733" s="627"/>
      <c r="H1733" s="628"/>
      <c r="I1733" s="605"/>
      <c r="J1733" s="605"/>
      <c r="K1733" s="605"/>
      <c r="L1733" s="605" t="s">
        <v>755</v>
      </c>
      <c r="M1733" s="375"/>
      <c r="N1733" s="376"/>
      <c r="O1733" s="376"/>
      <c r="P1733" s="294"/>
      <c r="Q1733" s="295">
        <f>SUM(O1734:O2610)</f>
        <v>97365.92</v>
      </c>
      <c r="R1733" s="311" t="str">
        <f>IF(Q1733&gt;0,"xy","")</f>
        <v>xy</v>
      </c>
      <c r="S1733" s="378" t="str">
        <f t="shared" si="427"/>
        <v>x</v>
      </c>
    </row>
    <row r="1734" spans="2:19" hidden="1" x14ac:dyDescent="0.2">
      <c r="B1734" s="730" t="s">
        <v>1844</v>
      </c>
      <c r="C1734" s="300" t="s">
        <v>207</v>
      </c>
      <c r="D1734" s="383" t="s">
        <v>324</v>
      </c>
      <c r="E1734" s="704"/>
      <c r="F1734" s="661">
        <v>0</v>
      </c>
      <c r="G1734" s="665">
        <v>0</v>
      </c>
      <c r="H1734" s="664">
        <v>0</v>
      </c>
      <c r="I1734" s="380">
        <v>46.12</v>
      </c>
      <c r="J1734" s="631">
        <f>IF(ISBLANK(I1734),"",SUM(H1734:I1734))</f>
        <v>46.12</v>
      </c>
      <c r="K1734" s="593">
        <f t="shared" ref="K1734:K1802" si="428">IF(ISBLANK(I1734),0,ROUND(J1734*(1+$F$10)*(1+$F$11*E1734),2))</f>
        <v>58.46</v>
      </c>
      <c r="L1734" s="594" t="s">
        <v>16</v>
      </c>
      <c r="M1734" s="30"/>
      <c r="N1734" s="30">
        <v>58.46</v>
      </c>
      <c r="O1734" s="287">
        <f t="shared" ref="O1734:O1990" si="429">IF(ISBLANK(M1734),0,ROUND(K1734*M1734,2))</f>
        <v>0</v>
      </c>
      <c r="P1734" s="287">
        <f t="shared" ref="P1734:P1990" si="430">IF(ISBLANK(N1734),0,ROUND(M1734*N1734,2))</f>
        <v>0</v>
      </c>
      <c r="Q1734" s="288"/>
      <c r="R1734" s="243"/>
      <c r="S1734" s="378" t="str">
        <f t="shared" si="427"/>
        <v/>
      </c>
    </row>
    <row r="1735" spans="2:19" x14ac:dyDescent="0.2">
      <c r="B1735" s="730">
        <v>600300</v>
      </c>
      <c r="C1735" s="300" t="s">
        <v>207</v>
      </c>
      <c r="D1735" s="383" t="s">
        <v>325</v>
      </c>
      <c r="E1735" s="704"/>
      <c r="F1735" s="661">
        <v>0</v>
      </c>
      <c r="G1735" s="665">
        <v>0</v>
      </c>
      <c r="H1735" s="664">
        <v>0</v>
      </c>
      <c r="I1735" s="380">
        <v>10.7</v>
      </c>
      <c r="J1735" s="631">
        <f t="shared" ref="J1735:J1749" si="431">IF(ISBLANK(I1735),"",SUM(H1735:I1735))</f>
        <v>10.7</v>
      </c>
      <c r="K1735" s="593">
        <f t="shared" si="428"/>
        <v>13.56</v>
      </c>
      <c r="L1735" s="594" t="s">
        <v>16</v>
      </c>
      <c r="M1735" s="30">
        <v>354.34</v>
      </c>
      <c r="N1735" s="30">
        <v>13.56</v>
      </c>
      <c r="O1735" s="287">
        <f t="shared" si="429"/>
        <v>4804.8500000000004</v>
      </c>
      <c r="P1735" s="287">
        <f t="shared" si="430"/>
        <v>4804.8500000000004</v>
      </c>
      <c r="Q1735" s="288"/>
      <c r="R1735" s="243"/>
      <c r="S1735" s="378" t="str">
        <f t="shared" si="427"/>
        <v>x</v>
      </c>
    </row>
    <row r="1736" spans="2:19" hidden="1" x14ac:dyDescent="0.2">
      <c r="B1736" s="730">
        <v>600400</v>
      </c>
      <c r="C1736" s="300" t="s">
        <v>207</v>
      </c>
      <c r="D1736" s="383" t="s">
        <v>326</v>
      </c>
      <c r="E1736" s="704"/>
      <c r="F1736" s="661">
        <v>0</v>
      </c>
      <c r="G1736" s="665"/>
      <c r="H1736" s="664"/>
      <c r="I1736" s="380">
        <v>10.97</v>
      </c>
      <c r="J1736" s="631">
        <f t="shared" si="431"/>
        <v>10.97</v>
      </c>
      <c r="K1736" s="593">
        <f t="shared" si="428"/>
        <v>13.9</v>
      </c>
      <c r="L1736" s="594" t="s">
        <v>16</v>
      </c>
      <c r="M1736" s="30"/>
      <c r="N1736" s="30">
        <v>13.9</v>
      </c>
      <c r="O1736" s="287">
        <f t="shared" si="429"/>
        <v>0</v>
      </c>
      <c r="P1736" s="287">
        <f t="shared" si="430"/>
        <v>0</v>
      </c>
      <c r="Q1736" s="288"/>
      <c r="R1736" s="243"/>
      <c r="S1736" s="378" t="str">
        <f t="shared" si="427"/>
        <v/>
      </c>
    </row>
    <row r="1737" spans="2:19" hidden="1" x14ac:dyDescent="0.2">
      <c r="B1737" s="730">
        <v>600500</v>
      </c>
      <c r="C1737" s="300" t="s">
        <v>207</v>
      </c>
      <c r="D1737" s="383" t="s">
        <v>327</v>
      </c>
      <c r="E1737" s="704"/>
      <c r="F1737" s="661">
        <v>0</v>
      </c>
      <c r="G1737" s="665"/>
      <c r="H1737" s="664"/>
      <c r="I1737" s="380">
        <v>73.539999999999992</v>
      </c>
      <c r="J1737" s="631">
        <f t="shared" si="431"/>
        <v>73.539999999999992</v>
      </c>
      <c r="K1737" s="593">
        <f t="shared" si="428"/>
        <v>93.21</v>
      </c>
      <c r="L1737" s="594" t="s">
        <v>16</v>
      </c>
      <c r="M1737" s="30"/>
      <c r="N1737" s="30">
        <v>93.21</v>
      </c>
      <c r="O1737" s="287">
        <f t="shared" si="429"/>
        <v>0</v>
      </c>
      <c r="P1737" s="287">
        <f t="shared" si="430"/>
        <v>0</v>
      </c>
      <c r="Q1737" s="288"/>
      <c r="R1737" s="243"/>
      <c r="S1737" s="378" t="str">
        <f t="shared" si="427"/>
        <v/>
      </c>
    </row>
    <row r="1738" spans="2:19" hidden="1" x14ac:dyDescent="0.2">
      <c r="B1738" s="730" t="s">
        <v>1781</v>
      </c>
      <c r="C1738" s="300" t="s">
        <v>207</v>
      </c>
      <c r="D1738" s="764" t="s">
        <v>488</v>
      </c>
      <c r="E1738" s="765"/>
      <c r="F1738" s="671"/>
      <c r="G1738" s="701"/>
      <c r="H1738" s="729"/>
      <c r="I1738" s="380">
        <v>132.88</v>
      </c>
      <c r="J1738" s="631">
        <f t="shared" ref="J1738:J1741" si="432">IF(ISBLANK(I1738),"",SUM(H1738:I1738))</f>
        <v>132.88</v>
      </c>
      <c r="K1738" s="593">
        <f t="shared" si="428"/>
        <v>168.43</v>
      </c>
      <c r="L1738" s="594" t="s">
        <v>21</v>
      </c>
      <c r="M1738" s="30"/>
      <c r="N1738" s="30">
        <v>168.43</v>
      </c>
      <c r="O1738" s="287">
        <f t="shared" si="429"/>
        <v>0</v>
      </c>
      <c r="P1738" s="287">
        <f t="shared" si="430"/>
        <v>0</v>
      </c>
      <c r="Q1738" s="288"/>
      <c r="R1738" s="243"/>
      <c r="S1738" s="378" t="str">
        <f t="shared" si="427"/>
        <v/>
      </c>
    </row>
    <row r="1739" spans="2:19" hidden="1" x14ac:dyDescent="0.2">
      <c r="B1739" s="730" t="s">
        <v>1846</v>
      </c>
      <c r="C1739" s="300" t="s">
        <v>207</v>
      </c>
      <c r="D1739" s="764" t="s">
        <v>765</v>
      </c>
      <c r="E1739" s="765"/>
      <c r="F1739" s="671"/>
      <c r="G1739" s="701"/>
      <c r="H1739" s="729"/>
      <c r="I1739" s="380">
        <v>76.88</v>
      </c>
      <c r="J1739" s="631">
        <f t="shared" si="432"/>
        <v>76.88</v>
      </c>
      <c r="K1739" s="593">
        <f t="shared" si="428"/>
        <v>97.45</v>
      </c>
      <c r="L1739" s="594" t="s">
        <v>19</v>
      </c>
      <c r="M1739" s="30"/>
      <c r="N1739" s="30">
        <v>97.45</v>
      </c>
      <c r="O1739" s="287">
        <f t="shared" si="429"/>
        <v>0</v>
      </c>
      <c r="P1739" s="287">
        <f t="shared" si="430"/>
        <v>0</v>
      </c>
      <c r="Q1739" s="288"/>
      <c r="R1739" s="243"/>
      <c r="S1739" s="378" t="str">
        <f t="shared" si="427"/>
        <v/>
      </c>
    </row>
    <row r="1740" spans="2:19" hidden="1" x14ac:dyDescent="0.2">
      <c r="B1740" s="730" t="s">
        <v>1849</v>
      </c>
      <c r="C1740" s="300" t="s">
        <v>207</v>
      </c>
      <c r="D1740" s="764" t="s">
        <v>766</v>
      </c>
      <c r="E1740" s="765"/>
      <c r="F1740" s="671"/>
      <c r="G1740" s="701"/>
      <c r="H1740" s="729"/>
      <c r="I1740" s="380">
        <v>153.77000000000001</v>
      </c>
      <c r="J1740" s="631">
        <f t="shared" si="432"/>
        <v>153.77000000000001</v>
      </c>
      <c r="K1740" s="593">
        <f t="shared" si="428"/>
        <v>194.9</v>
      </c>
      <c r="L1740" s="594" t="s">
        <v>19</v>
      </c>
      <c r="M1740" s="30"/>
      <c r="N1740" s="30">
        <v>194.9</v>
      </c>
      <c r="O1740" s="287">
        <f t="shared" si="429"/>
        <v>0</v>
      </c>
      <c r="P1740" s="287">
        <f t="shared" si="430"/>
        <v>0</v>
      </c>
      <c r="Q1740" s="288"/>
      <c r="R1740" s="243"/>
      <c r="S1740" s="378" t="str">
        <f t="shared" si="427"/>
        <v/>
      </c>
    </row>
    <row r="1741" spans="2:19" hidden="1" x14ac:dyDescent="0.2">
      <c r="B1741" s="730" t="s">
        <v>1850</v>
      </c>
      <c r="C1741" s="300" t="s">
        <v>207</v>
      </c>
      <c r="D1741" s="764" t="s">
        <v>767</v>
      </c>
      <c r="E1741" s="765"/>
      <c r="F1741" s="671"/>
      <c r="G1741" s="701"/>
      <c r="H1741" s="729"/>
      <c r="I1741" s="380">
        <v>230.65</v>
      </c>
      <c r="J1741" s="631">
        <f t="shared" si="432"/>
        <v>230.65</v>
      </c>
      <c r="K1741" s="593">
        <f t="shared" si="428"/>
        <v>292.35000000000002</v>
      </c>
      <c r="L1741" s="594" t="s">
        <v>19</v>
      </c>
      <c r="M1741" s="30"/>
      <c r="N1741" s="30">
        <v>292.35000000000002</v>
      </c>
      <c r="O1741" s="287">
        <f t="shared" si="429"/>
        <v>0</v>
      </c>
      <c r="P1741" s="287">
        <f t="shared" si="430"/>
        <v>0</v>
      </c>
      <c r="Q1741" s="288"/>
      <c r="R1741" s="243"/>
      <c r="S1741" s="378" t="str">
        <f t="shared" si="427"/>
        <v/>
      </c>
    </row>
    <row r="1742" spans="2:19" hidden="1" x14ac:dyDescent="0.2">
      <c r="B1742" s="730">
        <v>630300</v>
      </c>
      <c r="C1742" s="300" t="s">
        <v>207</v>
      </c>
      <c r="D1742" s="383" t="s">
        <v>328</v>
      </c>
      <c r="E1742" s="704"/>
      <c r="F1742" s="661"/>
      <c r="G1742" s="665"/>
      <c r="H1742" s="729"/>
      <c r="I1742" s="380">
        <v>15.01</v>
      </c>
      <c r="J1742" s="631">
        <f t="shared" si="431"/>
        <v>15.01</v>
      </c>
      <c r="K1742" s="593">
        <f t="shared" si="428"/>
        <v>19.03</v>
      </c>
      <c r="L1742" s="594" t="s">
        <v>19</v>
      </c>
      <c r="M1742" s="30"/>
      <c r="N1742" s="30">
        <v>19.03</v>
      </c>
      <c r="O1742" s="287">
        <f t="shared" si="429"/>
        <v>0</v>
      </c>
      <c r="P1742" s="287">
        <f t="shared" si="430"/>
        <v>0</v>
      </c>
      <c r="Q1742" s="288"/>
      <c r="R1742" s="243"/>
      <c r="S1742" s="378" t="str">
        <f t="shared" si="427"/>
        <v/>
      </c>
    </row>
    <row r="1743" spans="2:19" hidden="1" x14ac:dyDescent="0.2">
      <c r="B1743" s="730">
        <v>630400</v>
      </c>
      <c r="C1743" s="300" t="s">
        <v>207</v>
      </c>
      <c r="D1743" s="417" t="s">
        <v>329</v>
      </c>
      <c r="E1743" s="704"/>
      <c r="F1743" s="661"/>
      <c r="G1743" s="665"/>
      <c r="H1743" s="729"/>
      <c r="I1743" s="380">
        <v>18.760000000000002</v>
      </c>
      <c r="J1743" s="631">
        <f t="shared" si="431"/>
        <v>18.760000000000002</v>
      </c>
      <c r="K1743" s="593">
        <f t="shared" si="428"/>
        <v>23.78</v>
      </c>
      <c r="L1743" s="594" t="s">
        <v>19</v>
      </c>
      <c r="M1743" s="30"/>
      <c r="N1743" s="30">
        <v>23.78</v>
      </c>
      <c r="O1743" s="287">
        <f t="shared" si="429"/>
        <v>0</v>
      </c>
      <c r="P1743" s="287">
        <f t="shared" si="430"/>
        <v>0</v>
      </c>
      <c r="Q1743" s="288"/>
      <c r="R1743" s="243"/>
      <c r="S1743" s="378" t="str">
        <f t="shared" si="427"/>
        <v/>
      </c>
    </row>
    <row r="1744" spans="2:19" hidden="1" x14ac:dyDescent="0.2">
      <c r="B1744" s="730">
        <v>630500</v>
      </c>
      <c r="C1744" s="300" t="s">
        <v>207</v>
      </c>
      <c r="D1744" s="417" t="s">
        <v>330</v>
      </c>
      <c r="E1744" s="704"/>
      <c r="F1744" s="661"/>
      <c r="G1744" s="665"/>
      <c r="H1744" s="664"/>
      <c r="I1744" s="380">
        <v>20.46</v>
      </c>
      <c r="J1744" s="631">
        <f t="shared" si="431"/>
        <v>20.46</v>
      </c>
      <c r="K1744" s="593">
        <f t="shared" si="428"/>
        <v>25.93</v>
      </c>
      <c r="L1744" s="594" t="s">
        <v>19</v>
      </c>
      <c r="M1744" s="30"/>
      <c r="N1744" s="30">
        <v>25.93</v>
      </c>
      <c r="O1744" s="287">
        <f t="shared" si="429"/>
        <v>0</v>
      </c>
      <c r="P1744" s="287">
        <f t="shared" si="430"/>
        <v>0</v>
      </c>
      <c r="Q1744" s="288"/>
      <c r="R1744" s="243"/>
      <c r="S1744" s="378" t="str">
        <f t="shared" si="427"/>
        <v/>
      </c>
    </row>
    <row r="1745" spans="2:19" hidden="1" x14ac:dyDescent="0.2">
      <c r="B1745" s="730">
        <v>630600</v>
      </c>
      <c r="C1745" s="300" t="s">
        <v>207</v>
      </c>
      <c r="D1745" s="417" t="s">
        <v>331</v>
      </c>
      <c r="E1745" s="704"/>
      <c r="F1745" s="661"/>
      <c r="G1745" s="665"/>
      <c r="H1745" s="664"/>
      <c r="I1745" s="380">
        <v>22.51</v>
      </c>
      <c r="J1745" s="631">
        <f t="shared" si="431"/>
        <v>22.51</v>
      </c>
      <c r="K1745" s="593">
        <f t="shared" si="428"/>
        <v>28.53</v>
      </c>
      <c r="L1745" s="594" t="s">
        <v>19</v>
      </c>
      <c r="M1745" s="30"/>
      <c r="N1745" s="30">
        <v>28.53</v>
      </c>
      <c r="O1745" s="287">
        <f t="shared" si="429"/>
        <v>0</v>
      </c>
      <c r="P1745" s="287">
        <f t="shared" si="430"/>
        <v>0</v>
      </c>
      <c r="Q1745" s="288"/>
      <c r="R1745" s="243"/>
      <c r="S1745" s="378" t="str">
        <f t="shared" si="427"/>
        <v/>
      </c>
    </row>
    <row r="1746" spans="2:19" hidden="1" x14ac:dyDescent="0.2">
      <c r="B1746" s="730">
        <v>630800</v>
      </c>
      <c r="C1746" s="300" t="s">
        <v>207</v>
      </c>
      <c r="D1746" s="383" t="s">
        <v>332</v>
      </c>
      <c r="E1746" s="704"/>
      <c r="F1746" s="661"/>
      <c r="G1746" s="665"/>
      <c r="H1746" s="664"/>
      <c r="I1746" s="380">
        <v>45.03</v>
      </c>
      <c r="J1746" s="631">
        <f t="shared" si="431"/>
        <v>45.03</v>
      </c>
      <c r="K1746" s="593">
        <f t="shared" si="428"/>
        <v>57.08</v>
      </c>
      <c r="L1746" s="594" t="s">
        <v>19</v>
      </c>
      <c r="M1746" s="30"/>
      <c r="N1746" s="30">
        <v>57.08</v>
      </c>
      <c r="O1746" s="287">
        <f t="shared" si="429"/>
        <v>0</v>
      </c>
      <c r="P1746" s="287">
        <f t="shared" si="430"/>
        <v>0</v>
      </c>
      <c r="Q1746" s="288"/>
      <c r="R1746" s="243"/>
      <c r="S1746" s="378" t="str">
        <f t="shared" si="427"/>
        <v/>
      </c>
    </row>
    <row r="1747" spans="2:19" hidden="1" x14ac:dyDescent="0.2">
      <c r="B1747" s="730">
        <v>631000</v>
      </c>
      <c r="C1747" s="300" t="s">
        <v>207</v>
      </c>
      <c r="D1747" s="383" t="s">
        <v>333</v>
      </c>
      <c r="E1747" s="704"/>
      <c r="F1747" s="661"/>
      <c r="G1747" s="665"/>
      <c r="H1747" s="664"/>
      <c r="I1747" s="380">
        <v>43.95</v>
      </c>
      <c r="J1747" s="631">
        <f t="shared" si="431"/>
        <v>43.95</v>
      </c>
      <c r="K1747" s="593">
        <f t="shared" si="428"/>
        <v>55.71</v>
      </c>
      <c r="L1747" s="594" t="s">
        <v>19</v>
      </c>
      <c r="M1747" s="30"/>
      <c r="N1747" s="30">
        <v>55.71</v>
      </c>
      <c r="O1747" s="287">
        <f t="shared" si="429"/>
        <v>0</v>
      </c>
      <c r="P1747" s="287">
        <f t="shared" si="430"/>
        <v>0</v>
      </c>
      <c r="Q1747" s="288"/>
      <c r="R1747" s="243"/>
      <c r="S1747" s="378" t="str">
        <f t="shared" si="427"/>
        <v/>
      </c>
    </row>
    <row r="1748" spans="2:19" hidden="1" x14ac:dyDescent="0.2">
      <c r="B1748" s="730">
        <v>631200</v>
      </c>
      <c r="C1748" s="300" t="s">
        <v>207</v>
      </c>
      <c r="D1748" s="383" t="s">
        <v>334</v>
      </c>
      <c r="E1748" s="704"/>
      <c r="F1748" s="661"/>
      <c r="G1748" s="665"/>
      <c r="H1748" s="664"/>
      <c r="I1748" s="380">
        <v>52.74</v>
      </c>
      <c r="J1748" s="631">
        <f t="shared" si="431"/>
        <v>52.74</v>
      </c>
      <c r="K1748" s="593">
        <f t="shared" si="428"/>
        <v>66.849999999999994</v>
      </c>
      <c r="L1748" s="594" t="s">
        <v>19</v>
      </c>
      <c r="M1748" s="30"/>
      <c r="N1748" s="30">
        <v>66.849999999999994</v>
      </c>
      <c r="O1748" s="287">
        <f t="shared" si="429"/>
        <v>0</v>
      </c>
      <c r="P1748" s="287">
        <f t="shared" si="430"/>
        <v>0</v>
      </c>
      <c r="Q1748" s="288"/>
      <c r="R1748" s="243"/>
      <c r="S1748" s="378" t="str">
        <f t="shared" si="427"/>
        <v/>
      </c>
    </row>
    <row r="1749" spans="2:19" hidden="1" x14ac:dyDescent="0.2">
      <c r="B1749" s="730">
        <v>631500</v>
      </c>
      <c r="C1749" s="300" t="s">
        <v>207</v>
      </c>
      <c r="D1749" s="383" t="s">
        <v>335</v>
      </c>
      <c r="E1749" s="704"/>
      <c r="F1749" s="661"/>
      <c r="G1749" s="665"/>
      <c r="H1749" s="664"/>
      <c r="I1749" s="380">
        <v>65.930000000000007</v>
      </c>
      <c r="J1749" s="631">
        <f t="shared" si="431"/>
        <v>65.930000000000007</v>
      </c>
      <c r="K1749" s="593">
        <f t="shared" si="428"/>
        <v>83.57</v>
      </c>
      <c r="L1749" s="594" t="s">
        <v>19</v>
      </c>
      <c r="M1749" s="30"/>
      <c r="N1749" s="30">
        <v>83.57</v>
      </c>
      <c r="O1749" s="287">
        <f t="shared" si="429"/>
        <v>0</v>
      </c>
      <c r="P1749" s="287">
        <f t="shared" si="430"/>
        <v>0</v>
      </c>
      <c r="Q1749" s="288"/>
      <c r="R1749" s="243"/>
      <c r="S1749" s="378" t="str">
        <f t="shared" si="427"/>
        <v/>
      </c>
    </row>
    <row r="1750" spans="2:19" hidden="1" x14ac:dyDescent="0.2">
      <c r="B1750" s="730">
        <v>860200</v>
      </c>
      <c r="C1750" s="300" t="s">
        <v>207</v>
      </c>
      <c r="D1750" s="383" t="s">
        <v>1693</v>
      </c>
      <c r="E1750" s="704"/>
      <c r="F1750" s="661"/>
      <c r="G1750" s="665"/>
      <c r="H1750" s="664">
        <f>SUM(H1751:H1752)</f>
        <v>22.287264</v>
      </c>
      <c r="I1750" s="380">
        <v>920.3900000000001</v>
      </c>
      <c r="J1750" s="631">
        <f>IF(ISBLANK(I1750),"",SUM(H1750:I1750))</f>
        <v>942.67726400000015</v>
      </c>
      <c r="K1750" s="593">
        <f t="shared" si="428"/>
        <v>1194.8399999999999</v>
      </c>
      <c r="L1750" s="594" t="s">
        <v>16</v>
      </c>
      <c r="M1750" s="30"/>
      <c r="N1750" s="30">
        <v>1194.8399999999999</v>
      </c>
      <c r="O1750" s="287">
        <f t="shared" si="429"/>
        <v>0</v>
      </c>
      <c r="P1750" s="287">
        <f t="shared" si="430"/>
        <v>0</v>
      </c>
      <c r="Q1750" s="288"/>
      <c r="R1750" s="243"/>
      <c r="S1750" s="378" t="str">
        <f t="shared" si="427"/>
        <v/>
      </c>
    </row>
    <row r="1751" spans="2:19" hidden="1" x14ac:dyDescent="0.2">
      <c r="B1751" s="730" t="s">
        <v>168</v>
      </c>
      <c r="C1751" s="300"/>
      <c r="D1751" s="417" t="s">
        <v>1694</v>
      </c>
      <c r="E1751" s="704"/>
      <c r="F1751" s="661">
        <v>10</v>
      </c>
      <c r="G1751" s="665">
        <v>1.7250000000000001</v>
      </c>
      <c r="H1751" s="663">
        <f t="shared" ref="H1751:H1767" si="433">IF(F1751&lt;=30,(1.05*F1751+2.18)*G1751,((1.05*30+2.18)+0.87*(F1751-30))*G1751)</f>
        <v>21.873000000000001</v>
      </c>
      <c r="I1751" s="380"/>
      <c r="J1751" s="631"/>
      <c r="K1751" s="593">
        <f t="shared" si="428"/>
        <v>0</v>
      </c>
      <c r="L1751" s="651" t="s">
        <v>755</v>
      </c>
      <c r="M1751" s="600"/>
      <c r="N1751" s="600">
        <v>0</v>
      </c>
      <c r="O1751" s="287">
        <f t="shared" si="429"/>
        <v>0</v>
      </c>
      <c r="P1751" s="287">
        <f t="shared" si="430"/>
        <v>0</v>
      </c>
      <c r="Q1751" s="288"/>
      <c r="R1751" s="311" t="str">
        <f>IF(P1750&gt;0,"xy","")</f>
        <v/>
      </c>
      <c r="S1751" s="378" t="str">
        <f t="shared" si="427"/>
        <v/>
      </c>
    </row>
    <row r="1752" spans="2:19" hidden="1" x14ac:dyDescent="0.2">
      <c r="B1752" s="730" t="s">
        <v>168</v>
      </c>
      <c r="C1752" s="300"/>
      <c r="D1752" s="417" t="s">
        <v>336</v>
      </c>
      <c r="E1752" s="704"/>
      <c r="F1752" s="661">
        <v>30</v>
      </c>
      <c r="G1752" s="665">
        <v>1.23E-2</v>
      </c>
      <c r="H1752" s="663">
        <f t="shared" si="433"/>
        <v>0.41426400000000002</v>
      </c>
      <c r="I1752" s="380"/>
      <c r="J1752" s="631"/>
      <c r="K1752" s="593">
        <f t="shared" si="428"/>
        <v>0</v>
      </c>
      <c r="L1752" s="651" t="s">
        <v>755</v>
      </c>
      <c r="M1752" s="600"/>
      <c r="N1752" s="600">
        <v>0</v>
      </c>
      <c r="O1752" s="287">
        <f t="shared" si="429"/>
        <v>0</v>
      </c>
      <c r="P1752" s="287">
        <f t="shared" si="430"/>
        <v>0</v>
      </c>
      <c r="Q1752" s="288"/>
      <c r="R1752" s="311" t="str">
        <f>IF(P1750&gt;0,"xy","")</f>
        <v/>
      </c>
      <c r="S1752" s="378" t="str">
        <f t="shared" si="427"/>
        <v/>
      </c>
    </row>
    <row r="1753" spans="2:19" hidden="1" x14ac:dyDescent="0.2">
      <c r="B1753" s="730">
        <v>860100</v>
      </c>
      <c r="C1753" s="300" t="s">
        <v>207</v>
      </c>
      <c r="D1753" s="383" t="s">
        <v>1695</v>
      </c>
      <c r="E1753" s="704"/>
      <c r="F1753" s="661"/>
      <c r="G1753" s="665"/>
      <c r="H1753" s="664">
        <f>SUM(H1754:H1755)</f>
        <v>22.307472000000001</v>
      </c>
      <c r="I1753" s="380">
        <v>661.15000000000009</v>
      </c>
      <c r="J1753" s="631">
        <f>IF(ISBLANK(I1753),"",SUM(H1753:I1753))</f>
        <v>683.45747200000005</v>
      </c>
      <c r="K1753" s="593">
        <f t="shared" si="428"/>
        <v>866.28</v>
      </c>
      <c r="L1753" s="594" t="s">
        <v>16</v>
      </c>
      <c r="M1753" s="30"/>
      <c r="N1753" s="30">
        <v>866.28</v>
      </c>
      <c r="O1753" s="287">
        <f t="shared" si="429"/>
        <v>0</v>
      </c>
      <c r="P1753" s="287">
        <f t="shared" si="430"/>
        <v>0</v>
      </c>
      <c r="Q1753" s="288"/>
      <c r="R1753" s="243"/>
      <c r="S1753" s="378" t="str">
        <f t="shared" si="427"/>
        <v/>
      </c>
    </row>
    <row r="1754" spans="2:19" hidden="1" x14ac:dyDescent="0.2">
      <c r="B1754" s="730" t="s">
        <v>168</v>
      </c>
      <c r="C1754" s="300"/>
      <c r="D1754" s="417" t="s">
        <v>1694</v>
      </c>
      <c r="E1754" s="704"/>
      <c r="F1754" s="661">
        <v>10</v>
      </c>
      <c r="G1754" s="665">
        <v>1.7250000000000001</v>
      </c>
      <c r="H1754" s="663">
        <f t="shared" si="433"/>
        <v>21.873000000000001</v>
      </c>
      <c r="I1754" s="380"/>
      <c r="J1754" s="631"/>
      <c r="K1754" s="593">
        <f t="shared" si="428"/>
        <v>0</v>
      </c>
      <c r="L1754" s="651" t="s">
        <v>755</v>
      </c>
      <c r="M1754" s="600"/>
      <c r="N1754" s="600">
        <v>0</v>
      </c>
      <c r="O1754" s="287">
        <f t="shared" si="429"/>
        <v>0</v>
      </c>
      <c r="P1754" s="287">
        <f t="shared" si="430"/>
        <v>0</v>
      </c>
      <c r="Q1754" s="288"/>
      <c r="R1754" s="311" t="str">
        <f>IF(P1753&gt;0,"xy","")</f>
        <v/>
      </c>
      <c r="S1754" s="378" t="str">
        <f t="shared" si="427"/>
        <v/>
      </c>
    </row>
    <row r="1755" spans="2:19" hidden="1" x14ac:dyDescent="0.2">
      <c r="B1755" s="730" t="s">
        <v>168</v>
      </c>
      <c r="C1755" s="300"/>
      <c r="D1755" s="417" t="s">
        <v>336</v>
      </c>
      <c r="E1755" s="704"/>
      <c r="F1755" s="661">
        <v>30</v>
      </c>
      <c r="G1755" s="665">
        <v>1.29E-2</v>
      </c>
      <c r="H1755" s="663">
        <f t="shared" si="433"/>
        <v>0.43447199999999997</v>
      </c>
      <c r="I1755" s="380"/>
      <c r="J1755" s="631"/>
      <c r="K1755" s="593">
        <f t="shared" si="428"/>
        <v>0</v>
      </c>
      <c r="L1755" s="651" t="s">
        <v>755</v>
      </c>
      <c r="M1755" s="600"/>
      <c r="N1755" s="600">
        <v>0</v>
      </c>
      <c r="O1755" s="287">
        <f t="shared" si="429"/>
        <v>0</v>
      </c>
      <c r="P1755" s="287">
        <f t="shared" si="430"/>
        <v>0</v>
      </c>
      <c r="Q1755" s="288"/>
      <c r="R1755" s="311" t="str">
        <f>IF(P1753&gt;0,"xy","")</f>
        <v/>
      </c>
      <c r="S1755" s="378" t="str">
        <f t="shared" si="427"/>
        <v/>
      </c>
    </row>
    <row r="1756" spans="2:19" hidden="1" x14ac:dyDescent="0.2">
      <c r="B1756" s="730">
        <v>860150</v>
      </c>
      <c r="C1756" s="300" t="s">
        <v>207</v>
      </c>
      <c r="D1756" s="383" t="s">
        <v>1696</v>
      </c>
      <c r="E1756" s="704"/>
      <c r="F1756" s="661"/>
      <c r="G1756" s="665"/>
      <c r="H1756" s="664">
        <f>SUM(H1757:H1758)</f>
        <v>22.159280000000003</v>
      </c>
      <c r="I1756" s="380">
        <v>704.08999999999992</v>
      </c>
      <c r="J1756" s="631">
        <f>IF(ISBLANK(I1756),"",SUM(H1756:I1756))</f>
        <v>726.24927999999989</v>
      </c>
      <c r="K1756" s="593">
        <f t="shared" si="428"/>
        <v>920.52</v>
      </c>
      <c r="L1756" s="594" t="s">
        <v>16</v>
      </c>
      <c r="M1756" s="30"/>
      <c r="N1756" s="30">
        <v>920.52</v>
      </c>
      <c r="O1756" s="287">
        <f t="shared" si="429"/>
        <v>0</v>
      </c>
      <c r="P1756" s="287">
        <f t="shared" si="430"/>
        <v>0</v>
      </c>
      <c r="Q1756" s="288"/>
      <c r="R1756" s="243"/>
      <c r="S1756" s="378" t="str">
        <f t="shared" si="427"/>
        <v/>
      </c>
    </row>
    <row r="1757" spans="2:19" hidden="1" x14ac:dyDescent="0.2">
      <c r="B1757" s="730" t="s">
        <v>168</v>
      </c>
      <c r="C1757" s="300"/>
      <c r="D1757" s="417" t="s">
        <v>1694</v>
      </c>
      <c r="E1757" s="704"/>
      <c r="F1757" s="661">
        <v>10</v>
      </c>
      <c r="G1757" s="665">
        <v>1.7250000000000001</v>
      </c>
      <c r="H1757" s="663">
        <f t="shared" si="433"/>
        <v>21.873000000000001</v>
      </c>
      <c r="I1757" s="380"/>
      <c r="J1757" s="631"/>
      <c r="K1757" s="593">
        <f t="shared" si="428"/>
        <v>0</v>
      </c>
      <c r="L1757" s="651" t="s">
        <v>755</v>
      </c>
      <c r="M1757" s="600"/>
      <c r="N1757" s="600">
        <v>0</v>
      </c>
      <c r="O1757" s="287">
        <f t="shared" si="429"/>
        <v>0</v>
      </c>
      <c r="P1757" s="287">
        <f t="shared" si="430"/>
        <v>0</v>
      </c>
      <c r="Q1757" s="288"/>
      <c r="R1757" s="311" t="str">
        <f>IF(P1756&gt;0,"xy","")</f>
        <v/>
      </c>
      <c r="S1757" s="378" t="str">
        <f t="shared" si="427"/>
        <v/>
      </c>
    </row>
    <row r="1758" spans="2:19" hidden="1" x14ac:dyDescent="0.2">
      <c r="B1758" s="730" t="s">
        <v>168</v>
      </c>
      <c r="C1758" s="300"/>
      <c r="D1758" s="417" t="s">
        <v>336</v>
      </c>
      <c r="E1758" s="704"/>
      <c r="F1758" s="661">
        <v>30</v>
      </c>
      <c r="G1758" s="665">
        <v>8.5000000000000006E-3</v>
      </c>
      <c r="H1758" s="663">
        <f t="shared" si="433"/>
        <v>0.28628000000000003</v>
      </c>
      <c r="I1758" s="380"/>
      <c r="J1758" s="631"/>
      <c r="K1758" s="593">
        <f t="shared" si="428"/>
        <v>0</v>
      </c>
      <c r="L1758" s="651" t="s">
        <v>755</v>
      </c>
      <c r="M1758" s="600"/>
      <c r="N1758" s="600">
        <v>0</v>
      </c>
      <c r="O1758" s="287">
        <f t="shared" si="429"/>
        <v>0</v>
      </c>
      <c r="P1758" s="287">
        <f t="shared" si="430"/>
        <v>0</v>
      </c>
      <c r="Q1758" s="288"/>
      <c r="R1758" s="311" t="str">
        <f>IF(P1756&gt;0,"xy","")</f>
        <v/>
      </c>
      <c r="S1758" s="378" t="str">
        <f t="shared" si="427"/>
        <v/>
      </c>
    </row>
    <row r="1759" spans="2:19" hidden="1" x14ac:dyDescent="0.2">
      <c r="B1759" s="730">
        <v>860000</v>
      </c>
      <c r="C1759" s="300" t="s">
        <v>207</v>
      </c>
      <c r="D1759" s="383" t="s">
        <v>1697</v>
      </c>
      <c r="E1759" s="704"/>
      <c r="F1759" s="661"/>
      <c r="G1759" s="665"/>
      <c r="H1759" s="664">
        <f>SUM(H1760:H1761)</f>
        <v>22.179488000000003</v>
      </c>
      <c r="I1759" s="380">
        <v>607.55999999999995</v>
      </c>
      <c r="J1759" s="631">
        <f>IF(ISBLANK(I1759),"",SUM(H1759:I1759))</f>
        <v>629.73948799999994</v>
      </c>
      <c r="K1759" s="593">
        <f t="shared" si="428"/>
        <v>798.19</v>
      </c>
      <c r="L1759" s="594" t="s">
        <v>16</v>
      </c>
      <c r="M1759" s="30"/>
      <c r="N1759" s="30">
        <v>798.19</v>
      </c>
      <c r="O1759" s="287">
        <f t="shared" si="429"/>
        <v>0</v>
      </c>
      <c r="P1759" s="287">
        <f t="shared" si="430"/>
        <v>0</v>
      </c>
      <c r="Q1759" s="288"/>
      <c r="R1759" s="243"/>
      <c r="S1759" s="378" t="str">
        <f t="shared" si="427"/>
        <v/>
      </c>
    </row>
    <row r="1760" spans="2:19" hidden="1" x14ac:dyDescent="0.2">
      <c r="B1760" s="730" t="s">
        <v>168</v>
      </c>
      <c r="C1760" s="300"/>
      <c r="D1760" s="417" t="s">
        <v>1694</v>
      </c>
      <c r="E1760" s="704"/>
      <c r="F1760" s="661">
        <v>10</v>
      </c>
      <c r="G1760" s="665">
        <v>1.7250000000000001</v>
      </c>
      <c r="H1760" s="663">
        <f t="shared" si="433"/>
        <v>21.873000000000001</v>
      </c>
      <c r="I1760" s="380"/>
      <c r="J1760" s="631"/>
      <c r="K1760" s="593">
        <f t="shared" si="428"/>
        <v>0</v>
      </c>
      <c r="L1760" s="651" t="s">
        <v>755</v>
      </c>
      <c r="M1760" s="600"/>
      <c r="N1760" s="600">
        <v>0</v>
      </c>
      <c r="O1760" s="287">
        <f t="shared" si="429"/>
        <v>0</v>
      </c>
      <c r="P1760" s="287">
        <f t="shared" si="430"/>
        <v>0</v>
      </c>
      <c r="Q1760" s="288"/>
      <c r="R1760" s="311" t="str">
        <f>IF(P1759&gt;0,"xy","")</f>
        <v/>
      </c>
      <c r="S1760" s="378" t="str">
        <f t="shared" si="427"/>
        <v/>
      </c>
    </row>
    <row r="1761" spans="2:19" hidden="1" x14ac:dyDescent="0.2">
      <c r="B1761" s="730" t="s">
        <v>168</v>
      </c>
      <c r="C1761" s="300"/>
      <c r="D1761" s="417" t="s">
        <v>336</v>
      </c>
      <c r="E1761" s="704"/>
      <c r="F1761" s="661">
        <v>30</v>
      </c>
      <c r="G1761" s="665">
        <v>9.1000000000000004E-3</v>
      </c>
      <c r="H1761" s="663">
        <f t="shared" si="433"/>
        <v>0.30648800000000004</v>
      </c>
      <c r="I1761" s="380"/>
      <c r="J1761" s="631"/>
      <c r="K1761" s="593">
        <f t="shared" si="428"/>
        <v>0</v>
      </c>
      <c r="L1761" s="651" t="s">
        <v>755</v>
      </c>
      <c r="M1761" s="600"/>
      <c r="N1761" s="600">
        <v>0</v>
      </c>
      <c r="O1761" s="287">
        <f t="shared" si="429"/>
        <v>0</v>
      </c>
      <c r="P1761" s="287">
        <f t="shared" si="430"/>
        <v>0</v>
      </c>
      <c r="Q1761" s="288"/>
      <c r="R1761" s="311" t="str">
        <f>IF(P1759&gt;0,"xy","")</f>
        <v/>
      </c>
      <c r="S1761" s="378" t="str">
        <f t="shared" si="427"/>
        <v/>
      </c>
    </row>
    <row r="1762" spans="2:19" hidden="1" x14ac:dyDescent="0.2">
      <c r="B1762" s="730">
        <v>860017</v>
      </c>
      <c r="C1762" s="300" t="s">
        <v>207</v>
      </c>
      <c r="D1762" s="383" t="s">
        <v>1698</v>
      </c>
      <c r="E1762" s="704"/>
      <c r="F1762" s="661"/>
      <c r="G1762" s="665"/>
      <c r="H1762" s="664">
        <f>SUM(H1763:H1764)</f>
        <v>3.9218799999999998</v>
      </c>
      <c r="I1762" s="380">
        <v>241.72</v>
      </c>
      <c r="J1762" s="631">
        <f>IF(ISBLANK(I1762),"",SUM(H1762:I1762))</f>
        <v>245.64187999999999</v>
      </c>
      <c r="K1762" s="593">
        <f t="shared" si="428"/>
        <v>311.35000000000002</v>
      </c>
      <c r="L1762" s="594" t="s">
        <v>16</v>
      </c>
      <c r="M1762" s="30"/>
      <c r="N1762" s="30">
        <v>311.35000000000002</v>
      </c>
      <c r="O1762" s="287">
        <f t="shared" si="429"/>
        <v>0</v>
      </c>
      <c r="P1762" s="287">
        <f t="shared" si="430"/>
        <v>0</v>
      </c>
      <c r="Q1762" s="288"/>
      <c r="R1762" s="243"/>
      <c r="S1762" s="378" t="str">
        <f t="shared" si="427"/>
        <v/>
      </c>
    </row>
    <row r="1763" spans="2:19" hidden="1" x14ac:dyDescent="0.2">
      <c r="B1763" s="730" t="s">
        <v>168</v>
      </c>
      <c r="C1763" s="300"/>
      <c r="D1763" s="417" t="s">
        <v>1694</v>
      </c>
      <c r="E1763" s="704"/>
      <c r="F1763" s="661">
        <v>10</v>
      </c>
      <c r="G1763" s="665">
        <v>0.3</v>
      </c>
      <c r="H1763" s="663">
        <f t="shared" si="433"/>
        <v>3.8039999999999998</v>
      </c>
      <c r="I1763" s="380"/>
      <c r="J1763" s="631"/>
      <c r="K1763" s="593">
        <f t="shared" si="428"/>
        <v>0</v>
      </c>
      <c r="L1763" s="651" t="s">
        <v>755</v>
      </c>
      <c r="M1763" s="600"/>
      <c r="N1763" s="600">
        <v>0</v>
      </c>
      <c r="O1763" s="287">
        <f t="shared" si="429"/>
        <v>0</v>
      </c>
      <c r="P1763" s="287">
        <f t="shared" si="430"/>
        <v>0</v>
      </c>
      <c r="Q1763" s="288"/>
      <c r="R1763" s="311" t="str">
        <f>IF(P1762&gt;0,"xy","")</f>
        <v/>
      </c>
      <c r="S1763" s="378" t="str">
        <f t="shared" si="427"/>
        <v/>
      </c>
    </row>
    <row r="1764" spans="2:19" hidden="1" x14ac:dyDescent="0.2">
      <c r="B1764" s="730" t="s">
        <v>168</v>
      </c>
      <c r="C1764" s="300"/>
      <c r="D1764" s="417" t="s">
        <v>336</v>
      </c>
      <c r="E1764" s="704"/>
      <c r="F1764" s="661">
        <v>30</v>
      </c>
      <c r="G1764" s="665">
        <v>3.5000000000000001E-3</v>
      </c>
      <c r="H1764" s="663">
        <f t="shared" si="433"/>
        <v>0.11788</v>
      </c>
      <c r="I1764" s="380"/>
      <c r="J1764" s="631"/>
      <c r="K1764" s="593">
        <f t="shared" si="428"/>
        <v>0</v>
      </c>
      <c r="L1764" s="651" t="s">
        <v>755</v>
      </c>
      <c r="M1764" s="600"/>
      <c r="N1764" s="600">
        <v>0</v>
      </c>
      <c r="O1764" s="287">
        <f t="shared" si="429"/>
        <v>0</v>
      </c>
      <c r="P1764" s="287">
        <f t="shared" si="430"/>
        <v>0</v>
      </c>
      <c r="Q1764" s="288"/>
      <c r="R1764" s="311" t="str">
        <f>IF(P1762&gt;0,"xy","")</f>
        <v/>
      </c>
      <c r="S1764" s="378" t="str">
        <f t="shared" si="427"/>
        <v/>
      </c>
    </row>
    <row r="1765" spans="2:19" hidden="1" x14ac:dyDescent="0.2">
      <c r="B1765" s="730">
        <v>860023</v>
      </c>
      <c r="C1765" s="300" t="s">
        <v>207</v>
      </c>
      <c r="D1765" s="383" t="s">
        <v>1699</v>
      </c>
      <c r="E1765" s="704"/>
      <c r="F1765" s="661"/>
      <c r="G1765" s="665"/>
      <c r="H1765" s="664">
        <f>SUM(H1766:H1767)</f>
        <v>6.7033559999999994</v>
      </c>
      <c r="I1765" s="380">
        <v>233.60000000000002</v>
      </c>
      <c r="J1765" s="631">
        <f>IF(ISBLANK(I1765),"",SUM(H1765:I1765))</f>
        <v>240.30335600000001</v>
      </c>
      <c r="K1765" s="593">
        <f t="shared" si="428"/>
        <v>304.58</v>
      </c>
      <c r="L1765" s="594" t="s">
        <v>16</v>
      </c>
      <c r="M1765" s="30"/>
      <c r="N1765" s="30">
        <v>304.58</v>
      </c>
      <c r="O1765" s="287">
        <f t="shared" si="429"/>
        <v>0</v>
      </c>
      <c r="P1765" s="287">
        <f t="shared" si="430"/>
        <v>0</v>
      </c>
      <c r="Q1765" s="288"/>
      <c r="R1765" s="243"/>
      <c r="S1765" s="378" t="str">
        <f t="shared" si="427"/>
        <v/>
      </c>
    </row>
    <row r="1766" spans="2:19" hidden="1" x14ac:dyDescent="0.2">
      <c r="B1766" s="730" t="s">
        <v>168</v>
      </c>
      <c r="C1766" s="300"/>
      <c r="D1766" s="417" t="s">
        <v>1694</v>
      </c>
      <c r="E1766" s="704"/>
      <c r="F1766" s="661">
        <v>10</v>
      </c>
      <c r="G1766" s="665">
        <v>0.51749999999999996</v>
      </c>
      <c r="H1766" s="663">
        <f t="shared" si="433"/>
        <v>6.5618999999999996</v>
      </c>
      <c r="I1766" s="380"/>
      <c r="J1766" s="631"/>
      <c r="K1766" s="593">
        <f t="shared" si="428"/>
        <v>0</v>
      </c>
      <c r="L1766" s="651" t="s">
        <v>755</v>
      </c>
      <c r="M1766" s="600"/>
      <c r="N1766" s="600">
        <v>0</v>
      </c>
      <c r="O1766" s="287">
        <f t="shared" si="429"/>
        <v>0</v>
      </c>
      <c r="P1766" s="287">
        <f t="shared" si="430"/>
        <v>0</v>
      </c>
      <c r="Q1766" s="288"/>
      <c r="R1766" s="311" t="str">
        <f>IF(P1765&gt;0,"xy","")</f>
        <v/>
      </c>
      <c r="S1766" s="378" t="str">
        <f t="shared" si="427"/>
        <v/>
      </c>
    </row>
    <row r="1767" spans="2:19" hidden="1" x14ac:dyDescent="0.2">
      <c r="B1767" s="730" t="s">
        <v>168</v>
      </c>
      <c r="C1767" s="300"/>
      <c r="D1767" s="417" t="s">
        <v>336</v>
      </c>
      <c r="E1767" s="704"/>
      <c r="F1767" s="661">
        <v>30</v>
      </c>
      <c r="G1767" s="665">
        <v>4.1999999999999997E-3</v>
      </c>
      <c r="H1767" s="663">
        <f t="shared" si="433"/>
        <v>0.141456</v>
      </c>
      <c r="I1767" s="380"/>
      <c r="J1767" s="631"/>
      <c r="K1767" s="593">
        <f t="shared" si="428"/>
        <v>0</v>
      </c>
      <c r="L1767" s="651" t="s">
        <v>755</v>
      </c>
      <c r="M1767" s="600"/>
      <c r="N1767" s="600">
        <v>0</v>
      </c>
      <c r="O1767" s="287">
        <f t="shared" si="429"/>
        <v>0</v>
      </c>
      <c r="P1767" s="287">
        <f t="shared" si="430"/>
        <v>0</v>
      </c>
      <c r="Q1767" s="288"/>
      <c r="R1767" s="311" t="str">
        <f>IF(P1765&gt;0,"xy","")</f>
        <v/>
      </c>
      <c r="S1767" s="378" t="str">
        <f t="shared" si="427"/>
        <v/>
      </c>
    </row>
    <row r="1768" spans="2:19" hidden="1" x14ac:dyDescent="0.2">
      <c r="B1768" s="730">
        <v>861030</v>
      </c>
      <c r="C1768" s="300" t="s">
        <v>207</v>
      </c>
      <c r="D1768" s="383" t="s">
        <v>1700</v>
      </c>
      <c r="E1768" s="704"/>
      <c r="F1768" s="661"/>
      <c r="G1768" s="665"/>
      <c r="H1768" s="664">
        <f>SUM(H1769:H1770)</f>
        <v>22.287264</v>
      </c>
      <c r="I1768" s="380">
        <v>259.51</v>
      </c>
      <c r="J1768" s="631">
        <f>IF(ISBLANK(I1768),"",SUM(H1768:I1768))</f>
        <v>281.79726399999998</v>
      </c>
      <c r="K1768" s="593">
        <f t="shared" si="428"/>
        <v>357.18</v>
      </c>
      <c r="L1768" s="594" t="s">
        <v>16</v>
      </c>
      <c r="M1768" s="30"/>
      <c r="N1768" s="30">
        <v>357.18</v>
      </c>
      <c r="O1768" s="287">
        <f t="shared" si="429"/>
        <v>0</v>
      </c>
      <c r="P1768" s="287">
        <f t="shared" si="430"/>
        <v>0</v>
      </c>
      <c r="Q1768" s="288"/>
      <c r="R1768" s="243"/>
      <c r="S1768" s="378" t="str">
        <f t="shared" si="427"/>
        <v/>
      </c>
    </row>
    <row r="1769" spans="2:19" hidden="1" x14ac:dyDescent="0.2">
      <c r="B1769" s="730" t="s">
        <v>168</v>
      </c>
      <c r="C1769" s="300"/>
      <c r="D1769" s="417" t="s">
        <v>1694</v>
      </c>
      <c r="E1769" s="704"/>
      <c r="F1769" s="661">
        <v>10</v>
      </c>
      <c r="G1769" s="665">
        <v>1.7250000000000001</v>
      </c>
      <c r="H1769" s="663">
        <f t="shared" ref="H1769:H1770" si="434">IF(F1769&lt;=30,(1.05*F1769+2.18)*G1769,((1.05*30+2.18)+0.87*(F1769-30))*G1769)</f>
        <v>21.873000000000001</v>
      </c>
      <c r="I1769" s="380"/>
      <c r="J1769" s="631"/>
      <c r="K1769" s="593">
        <f t="shared" si="428"/>
        <v>0</v>
      </c>
      <c r="L1769" s="651" t="s">
        <v>755</v>
      </c>
      <c r="M1769" s="600"/>
      <c r="N1769" s="600">
        <v>0</v>
      </c>
      <c r="O1769" s="287">
        <f t="shared" si="429"/>
        <v>0</v>
      </c>
      <c r="P1769" s="287">
        <f t="shared" si="430"/>
        <v>0</v>
      </c>
      <c r="Q1769" s="288"/>
      <c r="R1769" s="311" t="str">
        <f>IF(P1768&gt;0,"xy","")</f>
        <v/>
      </c>
      <c r="S1769" s="378" t="str">
        <f t="shared" si="427"/>
        <v/>
      </c>
    </row>
    <row r="1770" spans="2:19" hidden="1" x14ac:dyDescent="0.2">
      <c r="B1770" s="730" t="s">
        <v>168</v>
      </c>
      <c r="C1770" s="300"/>
      <c r="D1770" s="417" t="s">
        <v>336</v>
      </c>
      <c r="E1770" s="704"/>
      <c r="F1770" s="661">
        <v>30</v>
      </c>
      <c r="G1770" s="665">
        <v>1.23E-2</v>
      </c>
      <c r="H1770" s="663">
        <f t="shared" si="434"/>
        <v>0.41426400000000002</v>
      </c>
      <c r="I1770" s="380"/>
      <c r="J1770" s="631"/>
      <c r="K1770" s="593">
        <f t="shared" si="428"/>
        <v>0</v>
      </c>
      <c r="L1770" s="651" t="s">
        <v>755</v>
      </c>
      <c r="M1770" s="600"/>
      <c r="N1770" s="600">
        <v>0</v>
      </c>
      <c r="O1770" s="287">
        <f t="shared" si="429"/>
        <v>0</v>
      </c>
      <c r="P1770" s="287">
        <f t="shared" si="430"/>
        <v>0</v>
      </c>
      <c r="Q1770" s="288"/>
      <c r="R1770" s="311" t="str">
        <f>IF(P1768&gt;0,"xy","")</f>
        <v/>
      </c>
      <c r="S1770" s="378" t="str">
        <f t="shared" si="427"/>
        <v/>
      </c>
    </row>
    <row r="1771" spans="2:19" x14ac:dyDescent="0.2">
      <c r="B1771" s="730" t="s">
        <v>1851</v>
      </c>
      <c r="C1771" s="300" t="s">
        <v>207</v>
      </c>
      <c r="D1771" s="383" t="s">
        <v>1701</v>
      </c>
      <c r="E1771" s="704"/>
      <c r="F1771" s="661"/>
      <c r="G1771" s="665"/>
      <c r="H1771" s="664"/>
      <c r="I1771" s="380">
        <v>32.049999999999997</v>
      </c>
      <c r="J1771" s="631">
        <f>IF(ISBLANK(I1771),"",SUM(H1771:I1771))*0.9</f>
        <v>28.844999999999999</v>
      </c>
      <c r="K1771" s="593">
        <f t="shared" si="428"/>
        <v>36.56</v>
      </c>
      <c r="L1771" s="594" t="s">
        <v>16</v>
      </c>
      <c r="M1771" s="30">
        <v>90.48</v>
      </c>
      <c r="N1771" s="30">
        <v>36.56</v>
      </c>
      <c r="O1771" s="287">
        <f t="shared" si="429"/>
        <v>3307.95</v>
      </c>
      <c r="P1771" s="287">
        <f t="shared" si="430"/>
        <v>3307.95</v>
      </c>
      <c r="Q1771" s="288"/>
      <c r="R1771" s="243"/>
      <c r="S1771" s="378" t="str">
        <f t="shared" si="427"/>
        <v>x</v>
      </c>
    </row>
    <row r="1772" spans="2:19" x14ac:dyDescent="0.2">
      <c r="B1772" s="730" t="s">
        <v>1852</v>
      </c>
      <c r="C1772" s="300" t="s">
        <v>207</v>
      </c>
      <c r="D1772" s="383" t="s">
        <v>338</v>
      </c>
      <c r="E1772" s="704"/>
      <c r="F1772" s="661"/>
      <c r="G1772" s="665"/>
      <c r="H1772" s="664"/>
      <c r="I1772" s="380">
        <v>16.024999999999999</v>
      </c>
      <c r="J1772" s="631">
        <f>IF(ISBLANK(I1772),"",SUM(H1772:I1772))*0.9</f>
        <v>14.422499999999999</v>
      </c>
      <c r="K1772" s="593">
        <f t="shared" si="428"/>
        <v>18.28</v>
      </c>
      <c r="L1772" s="594" t="s">
        <v>1710</v>
      </c>
      <c r="M1772" s="30">
        <v>211.11</v>
      </c>
      <c r="N1772" s="30">
        <v>18.28</v>
      </c>
      <c r="O1772" s="287">
        <f t="shared" si="429"/>
        <v>3859.09</v>
      </c>
      <c r="P1772" s="287">
        <f t="shared" si="430"/>
        <v>3859.09</v>
      </c>
      <c r="Q1772" s="288"/>
      <c r="R1772" s="243"/>
      <c r="S1772" s="378" t="str">
        <f t="shared" si="427"/>
        <v>x</v>
      </c>
    </row>
    <row r="1773" spans="2:19" hidden="1" x14ac:dyDescent="0.2">
      <c r="B1773" s="730" t="s">
        <v>1793</v>
      </c>
      <c r="C1773" s="300" t="s">
        <v>817</v>
      </c>
      <c r="D1773" s="764" t="s">
        <v>1787</v>
      </c>
      <c r="E1773" s="765"/>
      <c r="F1773" s="671"/>
      <c r="G1773" s="701"/>
      <c r="H1773" s="729"/>
      <c r="I1773" s="380">
        <v>175.28</v>
      </c>
      <c r="J1773" s="631">
        <f t="shared" ref="J1773:J1774" si="435">IF(ISBLANK(I1773),"",SUM(H1773:I1773))</f>
        <v>175.28</v>
      </c>
      <c r="K1773" s="593">
        <f t="shared" ref="K1773:K1774" si="436">IF(ISBLANK(I1773),0,ROUND(J1773*(1+$F$10)*(1+$F$11*E1773),2))</f>
        <v>222.17</v>
      </c>
      <c r="L1773" s="594" t="s">
        <v>16</v>
      </c>
      <c r="M1773" s="30"/>
      <c r="N1773" s="30">
        <v>222.17</v>
      </c>
      <c r="O1773" s="287">
        <f t="shared" ref="O1773:O1774" si="437">IF(ISBLANK(M1773),0,ROUND(K1773*M1773,2))</f>
        <v>0</v>
      </c>
      <c r="P1773" s="287">
        <f t="shared" ref="P1773:P1774" si="438">IF(ISBLANK(N1773),0,ROUND(M1773*N1773,2))</f>
        <v>0</v>
      </c>
      <c r="Q1773" s="288"/>
      <c r="R1773" s="311" t="str">
        <f>IF(P139&gt;0,"xy","")</f>
        <v/>
      </c>
      <c r="S1773" s="378" t="str">
        <f t="shared" ref="S1773:S1774" si="439">IF(R1773="x","x",IF(R1773="y","x",IF(R1773="xy","x",IF(P1773&gt;0,"x",""))))</f>
        <v/>
      </c>
    </row>
    <row r="1774" spans="2:19" hidden="1" x14ac:dyDescent="0.2">
      <c r="B1774" s="730" t="s">
        <v>1794</v>
      </c>
      <c r="C1774" s="300" t="s">
        <v>817</v>
      </c>
      <c r="D1774" s="764" t="s">
        <v>1789</v>
      </c>
      <c r="E1774" s="765"/>
      <c r="F1774" s="671"/>
      <c r="G1774" s="701"/>
      <c r="H1774" s="729"/>
      <c r="I1774" s="380">
        <v>107.58</v>
      </c>
      <c r="J1774" s="631">
        <f t="shared" si="435"/>
        <v>107.58</v>
      </c>
      <c r="K1774" s="593">
        <f t="shared" si="436"/>
        <v>136.36000000000001</v>
      </c>
      <c r="L1774" s="594" t="s">
        <v>16</v>
      </c>
      <c r="M1774" s="30"/>
      <c r="N1774" s="30">
        <v>136.36000000000001</v>
      </c>
      <c r="O1774" s="287">
        <f t="shared" si="437"/>
        <v>0</v>
      </c>
      <c r="P1774" s="287">
        <f t="shared" si="438"/>
        <v>0</v>
      </c>
      <c r="Q1774" s="288"/>
      <c r="R1774" s="311" t="str">
        <f>IF(P140&gt;0,"xy","")</f>
        <v/>
      </c>
      <c r="S1774" s="378" t="str">
        <f t="shared" si="439"/>
        <v/>
      </c>
    </row>
    <row r="1775" spans="2:19" hidden="1" x14ac:dyDescent="0.2">
      <c r="B1775" s="730" t="s">
        <v>1795</v>
      </c>
      <c r="C1775" s="300" t="s">
        <v>207</v>
      </c>
      <c r="D1775" s="383" t="s">
        <v>515</v>
      </c>
      <c r="E1775" s="704"/>
      <c r="F1775" s="661"/>
      <c r="G1775" s="665"/>
      <c r="H1775" s="664"/>
      <c r="I1775" s="380">
        <v>169.87</v>
      </c>
      <c r="J1775" s="631">
        <f>IF(ISBLANK(I1775),"",SUM(H1775:I1775))</f>
        <v>169.87</v>
      </c>
      <c r="K1775" s="593">
        <f t="shared" si="428"/>
        <v>215.31</v>
      </c>
      <c r="L1775" s="594" t="s">
        <v>16</v>
      </c>
      <c r="M1775" s="30"/>
      <c r="N1775" s="30">
        <v>215.31</v>
      </c>
      <c r="O1775" s="287">
        <f t="shared" si="429"/>
        <v>0</v>
      </c>
      <c r="P1775" s="287">
        <f t="shared" si="430"/>
        <v>0</v>
      </c>
      <c r="Q1775" s="288"/>
      <c r="R1775" s="311" t="str">
        <f>IF(P141&gt;0,"xy","")</f>
        <v/>
      </c>
      <c r="S1775" s="378" t="str">
        <f t="shared" si="427"/>
        <v/>
      </c>
    </row>
    <row r="1776" spans="2:19" hidden="1" x14ac:dyDescent="0.2">
      <c r="B1776" s="730" t="s">
        <v>1775</v>
      </c>
      <c r="C1776" s="300" t="s">
        <v>207</v>
      </c>
      <c r="D1776" s="383" t="s">
        <v>200</v>
      </c>
      <c r="E1776" s="704"/>
      <c r="F1776" s="661"/>
      <c r="G1776" s="665"/>
      <c r="H1776" s="664">
        <f>IF(F1776&lt;=30,(0.31*F1776+0.77)*G1776,((0.31*30+0.77)+0.31*(F1776-30))*G1776)</f>
        <v>0</v>
      </c>
      <c r="I1776" s="380">
        <v>137.65</v>
      </c>
      <c r="J1776" s="631">
        <f t="shared" ref="J1776:J1779" si="440">IF(ISBLANK(I1776),"",SUM(H1776:I1776))</f>
        <v>137.65</v>
      </c>
      <c r="K1776" s="593">
        <f t="shared" si="428"/>
        <v>174.47</v>
      </c>
      <c r="L1776" s="594" t="s">
        <v>16</v>
      </c>
      <c r="M1776" s="30"/>
      <c r="N1776" s="30">
        <v>174.47</v>
      </c>
      <c r="O1776" s="287">
        <f t="shared" si="429"/>
        <v>0</v>
      </c>
      <c r="P1776" s="287">
        <f t="shared" si="430"/>
        <v>0</v>
      </c>
      <c r="Q1776" s="288"/>
      <c r="R1776" s="311" t="str">
        <f>IF(P141&gt;0,"xy","")</f>
        <v/>
      </c>
      <c r="S1776" s="378" t="str">
        <f t="shared" si="427"/>
        <v/>
      </c>
    </row>
    <row r="1777" spans="2:19" hidden="1" x14ac:dyDescent="0.2">
      <c r="B1777" s="730" t="s">
        <v>1772</v>
      </c>
      <c r="C1777" s="300" t="s">
        <v>207</v>
      </c>
      <c r="D1777" s="383" t="s">
        <v>201</v>
      </c>
      <c r="E1777" s="704"/>
      <c r="F1777" s="661"/>
      <c r="G1777" s="665"/>
      <c r="H1777" s="664">
        <f>IF(F1777&lt;=30,(0.31*F1777+0.77)*G1777,((0.31*30+0.77)+0.31*(F1777-30))*G1777)</f>
        <v>0</v>
      </c>
      <c r="I1777" s="380">
        <v>287.76000000000005</v>
      </c>
      <c r="J1777" s="631">
        <f t="shared" si="440"/>
        <v>287.76000000000005</v>
      </c>
      <c r="K1777" s="593">
        <f t="shared" si="428"/>
        <v>364.74</v>
      </c>
      <c r="L1777" s="594" t="s">
        <v>16</v>
      </c>
      <c r="M1777" s="30"/>
      <c r="N1777" s="30">
        <v>364.74</v>
      </c>
      <c r="O1777" s="287">
        <f t="shared" si="429"/>
        <v>0</v>
      </c>
      <c r="P1777" s="287">
        <f t="shared" si="430"/>
        <v>0</v>
      </c>
      <c r="Q1777" s="288"/>
      <c r="R1777" s="243"/>
      <c r="S1777" s="378" t="str">
        <f t="shared" si="427"/>
        <v/>
      </c>
    </row>
    <row r="1778" spans="2:19" hidden="1" x14ac:dyDescent="0.2">
      <c r="B1778" s="730" t="s">
        <v>1822</v>
      </c>
      <c r="C1778" s="300" t="s">
        <v>207</v>
      </c>
      <c r="D1778" s="383" t="s">
        <v>277</v>
      </c>
      <c r="E1778" s="704"/>
      <c r="F1778" s="661"/>
      <c r="G1778" s="665"/>
      <c r="H1778" s="664">
        <f t="shared" ref="H1778:H1780" si="441">IF(F1778&lt;=30,(0.31*F1778+0.77)*G1778,((0.31*30+0.77)+0.31*(F1778-30))*G1778)</f>
        <v>0</v>
      </c>
      <c r="I1778" s="380">
        <v>113.57</v>
      </c>
      <c r="J1778" s="631">
        <f t="shared" si="440"/>
        <v>113.57</v>
      </c>
      <c r="K1778" s="593">
        <f t="shared" si="428"/>
        <v>143.94999999999999</v>
      </c>
      <c r="L1778" s="594" t="s">
        <v>18</v>
      </c>
      <c r="M1778" s="30"/>
      <c r="N1778" s="30">
        <v>143.94999999999999</v>
      </c>
      <c r="O1778" s="287">
        <f t="shared" si="429"/>
        <v>0</v>
      </c>
      <c r="P1778" s="287">
        <f t="shared" si="430"/>
        <v>0</v>
      </c>
      <c r="Q1778" s="288"/>
      <c r="R1778" s="311" t="str">
        <f>IF(P141&gt;0,"xy","")</f>
        <v/>
      </c>
      <c r="S1778" s="378" t="str">
        <f t="shared" si="427"/>
        <v/>
      </c>
    </row>
    <row r="1779" spans="2:19" hidden="1" x14ac:dyDescent="0.2">
      <c r="B1779" s="730" t="s">
        <v>2091</v>
      </c>
      <c r="C1779" s="300" t="s">
        <v>207</v>
      </c>
      <c r="D1779" s="383" t="s">
        <v>278</v>
      </c>
      <c r="E1779" s="704"/>
      <c r="F1779" s="661"/>
      <c r="G1779" s="665"/>
      <c r="H1779" s="664">
        <f t="shared" si="441"/>
        <v>0</v>
      </c>
      <c r="I1779" s="380">
        <v>17.82</v>
      </c>
      <c r="J1779" s="631">
        <f t="shared" si="440"/>
        <v>17.82</v>
      </c>
      <c r="K1779" s="593">
        <f t="shared" si="428"/>
        <v>22.59</v>
      </c>
      <c r="L1779" s="594" t="s">
        <v>23</v>
      </c>
      <c r="M1779" s="30"/>
      <c r="N1779" s="30">
        <v>22.59</v>
      </c>
      <c r="O1779" s="287">
        <f t="shared" si="429"/>
        <v>0</v>
      </c>
      <c r="P1779" s="287">
        <f t="shared" si="430"/>
        <v>0</v>
      </c>
      <c r="Q1779" s="288"/>
      <c r="R1779" s="311" t="str">
        <f>IF(P141&gt;0,"xy","")</f>
        <v/>
      </c>
      <c r="S1779" s="378" t="str">
        <f t="shared" si="427"/>
        <v/>
      </c>
    </row>
    <row r="1780" spans="2:19" hidden="1" x14ac:dyDescent="0.2">
      <c r="B1780" s="730" t="s">
        <v>2092</v>
      </c>
      <c r="C1780" s="300" t="s">
        <v>207</v>
      </c>
      <c r="D1780" s="383" t="s">
        <v>279</v>
      </c>
      <c r="E1780" s="704"/>
      <c r="F1780" s="661"/>
      <c r="G1780" s="665"/>
      <c r="H1780" s="664">
        <f t="shared" si="441"/>
        <v>0</v>
      </c>
      <c r="I1780" s="380">
        <v>19.93</v>
      </c>
      <c r="J1780" s="631">
        <f>IF(ISBLANK(I1780),"",SUM(H1780:I1780))</f>
        <v>19.93</v>
      </c>
      <c r="K1780" s="593">
        <f t="shared" si="428"/>
        <v>25.26</v>
      </c>
      <c r="L1780" s="594" t="s">
        <v>23</v>
      </c>
      <c r="M1780" s="30"/>
      <c r="N1780" s="30">
        <v>25.26</v>
      </c>
      <c r="O1780" s="287">
        <f t="shared" si="429"/>
        <v>0</v>
      </c>
      <c r="P1780" s="287">
        <f t="shared" si="430"/>
        <v>0</v>
      </c>
      <c r="Q1780" s="288"/>
      <c r="R1780" s="243"/>
      <c r="S1780" s="378" t="str">
        <f t="shared" si="427"/>
        <v/>
      </c>
    </row>
    <row r="1781" spans="2:19" hidden="1" x14ac:dyDescent="0.2">
      <c r="B1781" s="730">
        <v>603600</v>
      </c>
      <c r="C1781" s="300" t="s">
        <v>207</v>
      </c>
      <c r="D1781" s="383" t="s">
        <v>339</v>
      </c>
      <c r="E1781" s="704"/>
      <c r="F1781" s="661"/>
      <c r="G1781" s="665"/>
      <c r="H1781" s="664">
        <f>SUM(H1782:H1784)</f>
        <v>150.52080000000001</v>
      </c>
      <c r="I1781" s="380">
        <v>265.87</v>
      </c>
      <c r="J1781" s="631">
        <f t="shared" ref="J1781" si="442">IF(ISBLANK(I1781),"",SUM(H1781:I1781))</f>
        <v>416.39080000000001</v>
      </c>
      <c r="K1781" s="593">
        <f t="shared" si="428"/>
        <v>527.78</v>
      </c>
      <c r="L1781" s="594" t="s">
        <v>16</v>
      </c>
      <c r="M1781" s="30"/>
      <c r="N1781" s="30">
        <v>527.78</v>
      </c>
      <c r="O1781" s="287">
        <f t="shared" si="429"/>
        <v>0</v>
      </c>
      <c r="P1781" s="287">
        <f t="shared" si="430"/>
        <v>0</v>
      </c>
      <c r="Q1781" s="288"/>
      <c r="R1781" s="311" t="str">
        <f>IF(P141&gt;0,"xy","")</f>
        <v/>
      </c>
      <c r="S1781" s="378" t="str">
        <f t="shared" si="427"/>
        <v/>
      </c>
    </row>
    <row r="1782" spans="2:19" hidden="1" x14ac:dyDescent="0.2">
      <c r="B1782" s="730" t="s">
        <v>168</v>
      </c>
      <c r="C1782" s="300"/>
      <c r="D1782" s="383" t="s">
        <v>213</v>
      </c>
      <c r="E1782" s="704"/>
      <c r="F1782" s="661">
        <v>500</v>
      </c>
      <c r="G1782" s="665">
        <v>0.1</v>
      </c>
      <c r="H1782" s="664">
        <f>IF(F1782&lt;=30,(0.75*F1782+6.29)*G1782,((0.75*30+6.29)+0.62*(F1782-30))*G1782)</f>
        <v>32.018999999999998</v>
      </c>
      <c r="I1782" s="380"/>
      <c r="J1782" s="631"/>
      <c r="K1782" s="593">
        <f t="shared" si="428"/>
        <v>0</v>
      </c>
      <c r="L1782" s="594"/>
      <c r="M1782" s="600"/>
      <c r="N1782" s="600">
        <v>0</v>
      </c>
      <c r="O1782" s="287">
        <f t="shared" si="429"/>
        <v>0</v>
      </c>
      <c r="P1782" s="287">
        <f t="shared" si="430"/>
        <v>0</v>
      </c>
      <c r="Q1782" s="288"/>
      <c r="R1782" s="311" t="str">
        <f>IF(P1781&gt;0,"xy","")</f>
        <v/>
      </c>
      <c r="S1782" s="378" t="str">
        <f t="shared" si="427"/>
        <v/>
      </c>
    </row>
    <row r="1783" spans="2:19" hidden="1" x14ac:dyDescent="0.2">
      <c r="B1783" s="730" t="s">
        <v>168</v>
      </c>
      <c r="C1783" s="300"/>
      <c r="D1783" s="383" t="s">
        <v>249</v>
      </c>
      <c r="E1783" s="704"/>
      <c r="F1783" s="661">
        <v>180</v>
      </c>
      <c r="G1783" s="665">
        <v>0.51</v>
      </c>
      <c r="H1783" s="663">
        <f t="shared" ref="H1783:H1788" si="443">IF(F1783&lt;=30,(1.05*F1783+2.18)*G1783,((1.05*30+2.18)+0.87*(F1783-30))*G1783)</f>
        <v>83.731800000000007</v>
      </c>
      <c r="I1783" s="380"/>
      <c r="J1783" s="631"/>
      <c r="K1783" s="593">
        <f t="shared" si="428"/>
        <v>0</v>
      </c>
      <c r="L1783" s="594"/>
      <c r="M1783" s="600"/>
      <c r="N1783" s="600">
        <v>0</v>
      </c>
      <c r="O1783" s="287">
        <f t="shared" si="429"/>
        <v>0</v>
      </c>
      <c r="P1783" s="287">
        <f t="shared" si="430"/>
        <v>0</v>
      </c>
      <c r="Q1783" s="288"/>
      <c r="R1783" s="243" t="str">
        <f>IF(P1781&gt;0,"xy","")</f>
        <v/>
      </c>
      <c r="S1783" s="378" t="str">
        <f t="shared" si="427"/>
        <v/>
      </c>
    </row>
    <row r="1784" spans="2:19" hidden="1" x14ac:dyDescent="0.2">
      <c r="B1784" s="730" t="s">
        <v>168</v>
      </c>
      <c r="C1784" s="300"/>
      <c r="D1784" s="383" t="s">
        <v>253</v>
      </c>
      <c r="E1784" s="704"/>
      <c r="F1784" s="661">
        <v>20</v>
      </c>
      <c r="G1784" s="665">
        <v>1.5</v>
      </c>
      <c r="H1784" s="663">
        <f t="shared" si="443"/>
        <v>34.769999999999996</v>
      </c>
      <c r="I1784" s="380"/>
      <c r="J1784" s="631"/>
      <c r="K1784" s="593">
        <f t="shared" si="428"/>
        <v>0</v>
      </c>
      <c r="L1784" s="594"/>
      <c r="M1784" s="600"/>
      <c r="N1784" s="600">
        <v>0</v>
      </c>
      <c r="O1784" s="287">
        <f t="shared" si="429"/>
        <v>0</v>
      </c>
      <c r="P1784" s="287">
        <f t="shared" si="430"/>
        <v>0</v>
      </c>
      <c r="Q1784" s="288"/>
      <c r="R1784" s="311" t="str">
        <f>IF(P1781&gt;0,"xy","")</f>
        <v/>
      </c>
      <c r="S1784" s="378" t="str">
        <f t="shared" si="427"/>
        <v/>
      </c>
    </row>
    <row r="1785" spans="2:19" hidden="1" x14ac:dyDescent="0.2">
      <c r="B1785" s="730" t="s">
        <v>1841</v>
      </c>
      <c r="C1785" s="300" t="s">
        <v>207</v>
      </c>
      <c r="D1785" s="383" t="s">
        <v>340</v>
      </c>
      <c r="E1785" s="704"/>
      <c r="F1785" s="661">
        <v>20</v>
      </c>
      <c r="G1785" s="665">
        <v>1.8</v>
      </c>
      <c r="H1785" s="663">
        <f t="shared" si="443"/>
        <v>41.724000000000004</v>
      </c>
      <c r="I1785" s="380">
        <v>197.1</v>
      </c>
      <c r="J1785" s="631">
        <f>IF(ISBLANK(I1785),"",SUM(H1785:I1785))</f>
        <v>238.82400000000001</v>
      </c>
      <c r="K1785" s="593">
        <f t="shared" si="428"/>
        <v>302.70999999999998</v>
      </c>
      <c r="L1785" s="594" t="s">
        <v>16</v>
      </c>
      <c r="M1785" s="30"/>
      <c r="N1785" s="30">
        <v>302.70999999999998</v>
      </c>
      <c r="O1785" s="287">
        <f t="shared" si="429"/>
        <v>0</v>
      </c>
      <c r="P1785" s="287">
        <f t="shared" si="430"/>
        <v>0</v>
      </c>
      <c r="Q1785" s="288"/>
      <c r="R1785" s="311" t="str">
        <f>IF(P141&gt;0,"xy","")</f>
        <v/>
      </c>
      <c r="S1785" s="378" t="str">
        <f t="shared" ref="S1785:S1852" si="444">IF(R1785="x","x",IF(R1785="y","x",IF(R1785="xy","x",IF(P1785&gt;0,"x",""))))</f>
        <v/>
      </c>
    </row>
    <row r="1786" spans="2:19" hidden="1" x14ac:dyDescent="0.2">
      <c r="B1786" s="730" t="s">
        <v>1842</v>
      </c>
      <c r="C1786" s="300" t="s">
        <v>207</v>
      </c>
      <c r="D1786" s="383" t="s">
        <v>341</v>
      </c>
      <c r="E1786" s="704"/>
      <c r="F1786" s="661">
        <v>20</v>
      </c>
      <c r="G1786" s="665">
        <v>1.5</v>
      </c>
      <c r="H1786" s="663">
        <f t="shared" si="443"/>
        <v>34.769999999999996</v>
      </c>
      <c r="I1786" s="380">
        <v>115.67</v>
      </c>
      <c r="J1786" s="631">
        <f>IF(ISBLANK(I1786),"",SUM(H1786:I1786))</f>
        <v>150.44</v>
      </c>
      <c r="K1786" s="593">
        <f t="shared" si="428"/>
        <v>190.68</v>
      </c>
      <c r="L1786" s="594" t="s">
        <v>16</v>
      </c>
      <c r="M1786" s="30"/>
      <c r="N1786" s="30">
        <v>190.68</v>
      </c>
      <c r="O1786" s="287">
        <f t="shared" si="429"/>
        <v>0</v>
      </c>
      <c r="P1786" s="287">
        <f t="shared" si="430"/>
        <v>0</v>
      </c>
      <c r="Q1786" s="288"/>
      <c r="R1786" s="311" t="str">
        <f>IF(P141&gt;0,"xy","")</f>
        <v/>
      </c>
      <c r="S1786" s="378" t="str">
        <f t="shared" si="444"/>
        <v/>
      </c>
    </row>
    <row r="1787" spans="2:19" hidden="1" x14ac:dyDescent="0.2">
      <c r="B1787" s="730" t="s">
        <v>2093</v>
      </c>
      <c r="C1787" s="300" t="s">
        <v>207</v>
      </c>
      <c r="D1787" s="383" t="s">
        <v>342</v>
      </c>
      <c r="E1787" s="704"/>
      <c r="F1787" s="661">
        <v>20</v>
      </c>
      <c r="G1787" s="665">
        <v>1.7250000000000001</v>
      </c>
      <c r="H1787" s="663">
        <f t="shared" si="443"/>
        <v>39.985500000000002</v>
      </c>
      <c r="I1787" s="380">
        <v>88.07</v>
      </c>
      <c r="J1787" s="631">
        <f>IF(ISBLANK(I1787),"",SUM(H1787:I1787))</f>
        <v>128.05549999999999</v>
      </c>
      <c r="K1787" s="593">
        <f t="shared" si="428"/>
        <v>162.31</v>
      </c>
      <c r="L1787" s="594" t="s">
        <v>16</v>
      </c>
      <c r="M1787" s="30"/>
      <c r="N1787" s="431">
        <v>162.31</v>
      </c>
      <c r="O1787" s="287">
        <f t="shared" si="429"/>
        <v>0</v>
      </c>
      <c r="P1787" s="287">
        <f t="shared" si="430"/>
        <v>0</v>
      </c>
      <c r="Q1787" s="288"/>
      <c r="R1787" s="243"/>
      <c r="S1787" s="378" t="str">
        <f t="shared" si="444"/>
        <v/>
      </c>
    </row>
    <row r="1788" spans="2:19" x14ac:dyDescent="0.2">
      <c r="B1788" s="730" t="s">
        <v>2094</v>
      </c>
      <c r="C1788" s="300" t="s">
        <v>207</v>
      </c>
      <c r="D1788" s="383" t="s">
        <v>343</v>
      </c>
      <c r="E1788" s="704"/>
      <c r="F1788" s="661">
        <v>19.100000000000001</v>
      </c>
      <c r="G1788" s="665">
        <v>1.5</v>
      </c>
      <c r="H1788" s="663">
        <f t="shared" si="443"/>
        <v>33.352500000000006</v>
      </c>
      <c r="I1788" s="380">
        <v>115.86</v>
      </c>
      <c r="J1788" s="631">
        <f>IF(ISBLANK(I1788),"",SUM(H1788:I1788))</f>
        <v>149.21250000000001</v>
      </c>
      <c r="K1788" s="593">
        <f t="shared" si="428"/>
        <v>189.13</v>
      </c>
      <c r="L1788" s="594" t="s">
        <v>16</v>
      </c>
      <c r="M1788" s="30">
        <v>9.4</v>
      </c>
      <c r="N1788" s="30">
        <v>189.13</v>
      </c>
      <c r="O1788" s="287">
        <f t="shared" si="429"/>
        <v>1777.82</v>
      </c>
      <c r="P1788" s="287">
        <f t="shared" si="430"/>
        <v>1777.82</v>
      </c>
      <c r="Q1788" s="288"/>
      <c r="R1788" s="311" t="str">
        <f>IF(P141&gt;0,"xy","")</f>
        <v/>
      </c>
      <c r="S1788" s="378" t="str">
        <f t="shared" si="444"/>
        <v>x</v>
      </c>
    </row>
    <row r="1789" spans="2:19" hidden="1" x14ac:dyDescent="0.2">
      <c r="B1789" s="730" t="s">
        <v>2095</v>
      </c>
      <c r="C1789" s="300" t="s">
        <v>207</v>
      </c>
      <c r="D1789" s="383" t="s">
        <v>275</v>
      </c>
      <c r="E1789" s="704"/>
      <c r="F1789" s="661"/>
      <c r="G1789" s="665"/>
      <c r="H1789" s="664">
        <f>SUM(H1790:H1792)</f>
        <v>257.39480000000003</v>
      </c>
      <c r="I1789" s="380">
        <v>387.28999999999996</v>
      </c>
      <c r="J1789" s="631">
        <f t="shared" ref="J1789" si="445">IF(ISBLANK(I1789),"",SUM(H1789:I1789))</f>
        <v>644.6848</v>
      </c>
      <c r="K1789" s="593">
        <f t="shared" si="428"/>
        <v>817.14</v>
      </c>
      <c r="L1789" s="594" t="s">
        <v>16</v>
      </c>
      <c r="M1789" s="30"/>
      <c r="N1789" s="30">
        <v>817.14</v>
      </c>
      <c r="O1789" s="287">
        <f t="shared" si="429"/>
        <v>0</v>
      </c>
      <c r="P1789" s="287">
        <f t="shared" si="430"/>
        <v>0</v>
      </c>
      <c r="Q1789" s="288"/>
      <c r="R1789" s="243"/>
      <c r="S1789" s="378" t="str">
        <f t="shared" si="444"/>
        <v/>
      </c>
    </row>
    <row r="1790" spans="2:19" hidden="1" x14ac:dyDescent="0.2">
      <c r="B1790" s="730" t="s">
        <v>168</v>
      </c>
      <c r="C1790" s="300"/>
      <c r="D1790" s="417" t="s">
        <v>213</v>
      </c>
      <c r="E1790" s="777"/>
      <c r="F1790" s="661">
        <v>500</v>
      </c>
      <c r="G1790" s="665">
        <v>0.18</v>
      </c>
      <c r="H1790" s="664">
        <f>IF(F1790&lt;=30,(0.75*F1790+6.29)*G1790,((0.75*30+6.29)+0.62*(F1790-30))*G1790)</f>
        <v>57.6342</v>
      </c>
      <c r="I1790" s="380">
        <v>0</v>
      </c>
      <c r="J1790" s="631"/>
      <c r="K1790" s="593">
        <f t="shared" si="428"/>
        <v>0</v>
      </c>
      <c r="L1790" s="594" t="s">
        <v>16</v>
      </c>
      <c r="M1790" s="30"/>
      <c r="N1790" s="30">
        <v>0</v>
      </c>
      <c r="O1790" s="287">
        <f t="shared" si="429"/>
        <v>0</v>
      </c>
      <c r="P1790" s="287">
        <f t="shared" si="430"/>
        <v>0</v>
      </c>
      <c r="Q1790" s="288"/>
      <c r="R1790" s="243"/>
      <c r="S1790" s="378" t="str">
        <f t="shared" si="444"/>
        <v/>
      </c>
    </row>
    <row r="1791" spans="2:19" hidden="1" x14ac:dyDescent="0.2">
      <c r="B1791" s="730" t="s">
        <v>168</v>
      </c>
      <c r="C1791" s="300"/>
      <c r="D1791" s="417" t="s">
        <v>249</v>
      </c>
      <c r="E1791" s="777"/>
      <c r="F1791" s="661">
        <v>180</v>
      </c>
      <c r="G1791" s="665">
        <v>1.06</v>
      </c>
      <c r="H1791" s="663">
        <f t="shared" ref="H1791:H1792" si="446">IF(F1791&lt;=30,(1.05*F1791+2.18)*G1791,((1.05*30+2.18)+0.87*(F1791-30))*G1791)</f>
        <v>174.03080000000003</v>
      </c>
      <c r="I1791" s="380">
        <v>0</v>
      </c>
      <c r="J1791" s="631"/>
      <c r="K1791" s="593">
        <f t="shared" si="428"/>
        <v>0</v>
      </c>
      <c r="L1791" s="594" t="s">
        <v>16</v>
      </c>
      <c r="M1791" s="30"/>
      <c r="N1791" s="30">
        <v>0</v>
      </c>
      <c r="O1791" s="287">
        <f t="shared" si="429"/>
        <v>0</v>
      </c>
      <c r="P1791" s="287">
        <f t="shared" si="430"/>
        <v>0</v>
      </c>
      <c r="Q1791" s="288"/>
      <c r="R1791" s="243"/>
      <c r="S1791" s="378" t="str">
        <f t="shared" si="444"/>
        <v/>
      </c>
    </row>
    <row r="1792" spans="2:19" hidden="1" x14ac:dyDescent="0.2">
      <c r="B1792" s="730" t="s">
        <v>168</v>
      </c>
      <c r="C1792" s="300"/>
      <c r="D1792" s="417" t="s">
        <v>253</v>
      </c>
      <c r="E1792" s="777"/>
      <c r="F1792" s="661">
        <v>20</v>
      </c>
      <c r="G1792" s="665">
        <v>1.1100000000000001</v>
      </c>
      <c r="H1792" s="663">
        <f t="shared" si="446"/>
        <v>25.729800000000001</v>
      </c>
      <c r="I1792" s="380">
        <v>0</v>
      </c>
      <c r="J1792" s="631"/>
      <c r="K1792" s="593">
        <f t="shared" si="428"/>
        <v>0</v>
      </c>
      <c r="L1792" s="594" t="s">
        <v>16</v>
      </c>
      <c r="M1792" s="30"/>
      <c r="N1792" s="30">
        <v>0</v>
      </c>
      <c r="O1792" s="287">
        <f t="shared" si="429"/>
        <v>0</v>
      </c>
      <c r="P1792" s="287">
        <f t="shared" si="430"/>
        <v>0</v>
      </c>
      <c r="Q1792" s="288"/>
      <c r="R1792" s="243"/>
      <c r="S1792" s="378" t="str">
        <f t="shared" si="444"/>
        <v/>
      </c>
    </row>
    <row r="1793" spans="2:19" hidden="1" x14ac:dyDescent="0.2">
      <c r="B1793" s="730">
        <v>603500</v>
      </c>
      <c r="C1793" s="300" t="s">
        <v>207</v>
      </c>
      <c r="D1793" s="383" t="s">
        <v>344</v>
      </c>
      <c r="E1793" s="704"/>
      <c r="F1793" s="661"/>
      <c r="G1793" s="665"/>
      <c r="H1793" s="664">
        <f>IF(F1793&lt;=30,(0.31*F1793+0.77)*G1793,((0.31*30+0.77)+0.31*(F1793-30))*G1793)</f>
        <v>0</v>
      </c>
      <c r="I1793" s="380">
        <v>1287.73</v>
      </c>
      <c r="J1793" s="631">
        <f>IF(ISBLANK(I1793),"",SUM(H1793:I1793))</f>
        <v>1287.73</v>
      </c>
      <c r="K1793" s="593">
        <f t="shared" si="428"/>
        <v>1632.2</v>
      </c>
      <c r="L1793" s="594" t="s">
        <v>16</v>
      </c>
      <c r="M1793" s="30"/>
      <c r="N1793" s="30">
        <v>1632.2</v>
      </c>
      <c r="O1793" s="287">
        <f t="shared" si="429"/>
        <v>0</v>
      </c>
      <c r="P1793" s="287">
        <f t="shared" si="430"/>
        <v>0</v>
      </c>
      <c r="Q1793" s="288"/>
      <c r="R1793" s="311" t="str">
        <f>IF(P141&gt;0,"xy","")</f>
        <v/>
      </c>
      <c r="S1793" s="378" t="str">
        <f t="shared" si="444"/>
        <v/>
      </c>
    </row>
    <row r="1794" spans="2:19" hidden="1" x14ac:dyDescent="0.2">
      <c r="B1794" s="730" t="s">
        <v>2096</v>
      </c>
      <c r="C1794" s="300" t="s">
        <v>207</v>
      </c>
      <c r="D1794" s="383" t="s">
        <v>345</v>
      </c>
      <c r="E1794" s="704"/>
      <c r="F1794" s="661"/>
      <c r="G1794" s="665"/>
      <c r="H1794" s="664">
        <f>IF(F1794&lt;=30,(0.31*F1794+0.77)*G1794,((0.31*30+0.77)+0.31*(F1794-30))*G1794)</f>
        <v>0</v>
      </c>
      <c r="I1794" s="380">
        <v>812.71162000000004</v>
      </c>
      <c r="J1794" s="631">
        <f>IF(ISBLANK(I1794),"",SUM(H1794:I1794))*0.86</f>
        <v>698.93199320000008</v>
      </c>
      <c r="K1794" s="593">
        <f t="shared" si="428"/>
        <v>885.9</v>
      </c>
      <c r="L1794" s="594" t="s">
        <v>16</v>
      </c>
      <c r="M1794" s="30"/>
      <c r="N1794" s="30">
        <v>885.9</v>
      </c>
      <c r="O1794" s="287">
        <f t="shared" si="429"/>
        <v>0</v>
      </c>
      <c r="P1794" s="287">
        <f t="shared" si="430"/>
        <v>0</v>
      </c>
      <c r="Q1794" s="288"/>
      <c r="R1794" s="311" t="str">
        <f>IF(P141&gt;0,"xy","")</f>
        <v/>
      </c>
      <c r="S1794" s="378" t="str">
        <f t="shared" si="444"/>
        <v/>
      </c>
    </row>
    <row r="1795" spans="2:19" hidden="1" x14ac:dyDescent="0.2">
      <c r="B1795" s="730">
        <v>604000</v>
      </c>
      <c r="C1795" s="300" t="s">
        <v>207</v>
      </c>
      <c r="D1795" s="383" t="s">
        <v>346</v>
      </c>
      <c r="E1795" s="704"/>
      <c r="F1795" s="661"/>
      <c r="G1795" s="665"/>
      <c r="H1795" s="664">
        <f>SUM(H1796:H1797)</f>
        <v>397.54596000000004</v>
      </c>
      <c r="I1795" s="380">
        <v>471.5</v>
      </c>
      <c r="J1795" s="631">
        <f>IF(ISBLANK(I1795),"",SUM(H1795:I1795))</f>
        <v>869.04596000000004</v>
      </c>
      <c r="K1795" s="593">
        <f t="shared" si="428"/>
        <v>1101.52</v>
      </c>
      <c r="L1795" s="594" t="s">
        <v>16</v>
      </c>
      <c r="M1795" s="30"/>
      <c r="N1795" s="30">
        <v>1101.52</v>
      </c>
      <c r="O1795" s="287">
        <f t="shared" si="429"/>
        <v>0</v>
      </c>
      <c r="P1795" s="287">
        <f t="shared" si="430"/>
        <v>0</v>
      </c>
      <c r="Q1795" s="288"/>
      <c r="R1795" s="243"/>
      <c r="S1795" s="378" t="str">
        <f t="shared" si="444"/>
        <v/>
      </c>
    </row>
    <row r="1796" spans="2:19" hidden="1" x14ac:dyDescent="0.2">
      <c r="B1796" s="730" t="s">
        <v>168</v>
      </c>
      <c r="C1796" s="300"/>
      <c r="D1796" s="383" t="s">
        <v>213</v>
      </c>
      <c r="E1796" s="704"/>
      <c r="F1796" s="661">
        <v>500</v>
      </c>
      <c r="G1796" s="665">
        <v>0.434</v>
      </c>
      <c r="H1796" s="664">
        <f>IF(F1796&lt;=30,(0.75*F1796+6.29)*G1796,((0.75*30+6.29)+0.62*(F1796-30))*G1796)</f>
        <v>138.96245999999999</v>
      </c>
      <c r="I1796" s="380"/>
      <c r="J1796" s="631"/>
      <c r="K1796" s="593">
        <f t="shared" si="428"/>
        <v>0</v>
      </c>
      <c r="L1796" s="594"/>
      <c r="M1796" s="600"/>
      <c r="N1796" s="600">
        <v>0</v>
      </c>
      <c r="O1796" s="287">
        <f t="shared" si="429"/>
        <v>0</v>
      </c>
      <c r="P1796" s="287">
        <f t="shared" si="430"/>
        <v>0</v>
      </c>
      <c r="Q1796" s="288"/>
      <c r="R1796" s="311" t="str">
        <f>IF(P141&gt;0,"xy","")</f>
        <v/>
      </c>
      <c r="S1796" s="378" t="str">
        <f t="shared" si="444"/>
        <v/>
      </c>
    </row>
    <row r="1797" spans="2:19" hidden="1" x14ac:dyDescent="0.2">
      <c r="B1797" s="730" t="s">
        <v>168</v>
      </c>
      <c r="C1797" s="300"/>
      <c r="D1797" s="383" t="s">
        <v>249</v>
      </c>
      <c r="E1797" s="704"/>
      <c r="F1797" s="661">
        <v>180</v>
      </c>
      <c r="G1797" s="665">
        <v>1.575</v>
      </c>
      <c r="H1797" s="663">
        <f t="shared" ref="H1797" si="447">IF(F1797&lt;=30,(1.05*F1797+2.18)*G1797,((1.05*30+2.18)+0.87*(F1797-30))*G1797)</f>
        <v>258.58350000000002</v>
      </c>
      <c r="I1797" s="380"/>
      <c r="J1797" s="631"/>
      <c r="K1797" s="593">
        <f t="shared" si="428"/>
        <v>0</v>
      </c>
      <c r="L1797" s="594"/>
      <c r="M1797" s="600"/>
      <c r="N1797" s="600">
        <v>0</v>
      </c>
      <c r="O1797" s="287">
        <f t="shared" si="429"/>
        <v>0</v>
      </c>
      <c r="P1797" s="287">
        <f t="shared" si="430"/>
        <v>0</v>
      </c>
      <c r="Q1797" s="288"/>
      <c r="R1797" s="311" t="str">
        <f>IF(P141&gt;0,"xy","")</f>
        <v/>
      </c>
      <c r="S1797" s="378" t="str">
        <f t="shared" si="444"/>
        <v/>
      </c>
    </row>
    <row r="1798" spans="2:19" hidden="1" x14ac:dyDescent="0.2">
      <c r="B1798" s="730">
        <v>604100</v>
      </c>
      <c r="C1798" s="300" t="s">
        <v>207</v>
      </c>
      <c r="D1798" s="383" t="s">
        <v>347</v>
      </c>
      <c r="E1798" s="704"/>
      <c r="F1798" s="661"/>
      <c r="G1798" s="665"/>
      <c r="H1798" s="664">
        <f>SUM(H1799:H1800)</f>
        <v>411.90314999999998</v>
      </c>
      <c r="I1798" s="380">
        <v>420.56</v>
      </c>
      <c r="J1798" s="631">
        <f>IF(ISBLANK(I1798),"",SUM(H1798:I1798))</f>
        <v>832.46315000000004</v>
      </c>
      <c r="K1798" s="593">
        <f t="shared" si="428"/>
        <v>1055.1500000000001</v>
      </c>
      <c r="L1798" s="594" t="s">
        <v>16</v>
      </c>
      <c r="M1798" s="30"/>
      <c r="N1798" s="30">
        <v>1055.1500000000001</v>
      </c>
      <c r="O1798" s="287">
        <f t="shared" si="429"/>
        <v>0</v>
      </c>
      <c r="P1798" s="287">
        <f t="shared" si="430"/>
        <v>0</v>
      </c>
      <c r="Q1798" s="288"/>
      <c r="R1798" s="311" t="str">
        <f>IF(P141&gt;0,"xy","")</f>
        <v/>
      </c>
      <c r="S1798" s="378" t="str">
        <f t="shared" si="444"/>
        <v/>
      </c>
    </row>
    <row r="1799" spans="2:19" hidden="1" x14ac:dyDescent="0.2">
      <c r="B1799" s="730" t="s">
        <v>168</v>
      </c>
      <c r="C1799" s="300"/>
      <c r="D1799" s="383" t="s">
        <v>213</v>
      </c>
      <c r="E1799" s="704"/>
      <c r="F1799" s="661">
        <v>500</v>
      </c>
      <c r="G1799" s="665">
        <v>0.42499999999999999</v>
      </c>
      <c r="H1799" s="664">
        <f>IF(F1799&lt;=30,(0.75*F1799+6.29)*G1799,((0.75*30+6.29)+0.62*(F1799-30))*G1799)</f>
        <v>136.08074999999999</v>
      </c>
      <c r="I1799" s="380"/>
      <c r="J1799" s="631"/>
      <c r="K1799" s="593">
        <f t="shared" si="428"/>
        <v>0</v>
      </c>
      <c r="L1799" s="594"/>
      <c r="M1799" s="600"/>
      <c r="N1799" s="600">
        <v>0</v>
      </c>
      <c r="O1799" s="287">
        <f t="shared" si="429"/>
        <v>0</v>
      </c>
      <c r="P1799" s="287">
        <f t="shared" si="430"/>
        <v>0</v>
      </c>
      <c r="Q1799" s="288"/>
      <c r="R1799" s="243"/>
      <c r="S1799" s="378" t="str">
        <f t="shared" si="444"/>
        <v/>
      </c>
    </row>
    <row r="1800" spans="2:19" hidden="1" x14ac:dyDescent="0.2">
      <c r="B1800" s="730" t="s">
        <v>168</v>
      </c>
      <c r="C1800" s="300"/>
      <c r="D1800" s="383" t="s">
        <v>249</v>
      </c>
      <c r="E1800" s="704"/>
      <c r="F1800" s="661">
        <v>180</v>
      </c>
      <c r="G1800" s="665">
        <v>1.68</v>
      </c>
      <c r="H1800" s="663">
        <f t="shared" ref="H1800:H1803" si="448">IF(F1800&lt;=30,(1.05*F1800+2.18)*G1800,((1.05*30+2.18)+0.87*(F1800-30))*G1800)</f>
        <v>275.82240000000002</v>
      </c>
      <c r="I1800" s="380"/>
      <c r="J1800" s="631"/>
      <c r="K1800" s="593">
        <f t="shared" si="428"/>
        <v>0</v>
      </c>
      <c r="L1800" s="594"/>
      <c r="M1800" s="600"/>
      <c r="N1800" s="600">
        <v>0</v>
      </c>
      <c r="O1800" s="287">
        <f t="shared" si="429"/>
        <v>0</v>
      </c>
      <c r="P1800" s="287">
        <f t="shared" si="430"/>
        <v>0</v>
      </c>
      <c r="Q1800" s="288"/>
      <c r="R1800" s="311" t="str">
        <f>IF(P141&gt;0,"xy","")</f>
        <v/>
      </c>
      <c r="S1800" s="378" t="str">
        <f t="shared" si="444"/>
        <v/>
      </c>
    </row>
    <row r="1801" spans="2:19" hidden="1" x14ac:dyDescent="0.2">
      <c r="B1801" s="730">
        <v>640000</v>
      </c>
      <c r="C1801" s="300" t="s">
        <v>207</v>
      </c>
      <c r="D1801" s="383" t="s">
        <v>348</v>
      </c>
      <c r="E1801" s="704"/>
      <c r="F1801" s="661"/>
      <c r="G1801" s="665"/>
      <c r="H1801" s="664">
        <f>SUM(H1802:H1803)</f>
        <v>84.44462</v>
      </c>
      <c r="I1801" s="380">
        <v>86.22</v>
      </c>
      <c r="J1801" s="631">
        <f>IF(ISBLANK(I1801),"",SUM(H1801:I1801))</f>
        <v>170.66462000000001</v>
      </c>
      <c r="K1801" s="593">
        <f t="shared" si="428"/>
        <v>216.32</v>
      </c>
      <c r="L1801" s="594" t="s">
        <v>19</v>
      </c>
      <c r="M1801" s="30"/>
      <c r="N1801" s="30">
        <v>216.32</v>
      </c>
      <c r="O1801" s="287">
        <f t="shared" si="429"/>
        <v>0</v>
      </c>
      <c r="P1801" s="287">
        <f t="shared" si="430"/>
        <v>0</v>
      </c>
      <c r="Q1801" s="288"/>
      <c r="R1801" s="311" t="str">
        <f>IF(P141&gt;0,"xy","")</f>
        <v/>
      </c>
      <c r="S1801" s="378" t="str">
        <f t="shared" si="444"/>
        <v/>
      </c>
    </row>
    <row r="1802" spans="2:19" hidden="1" x14ac:dyDescent="0.2">
      <c r="B1802" s="730" t="s">
        <v>168</v>
      </c>
      <c r="C1802" s="300"/>
      <c r="D1802" s="383" t="s">
        <v>249</v>
      </c>
      <c r="E1802" s="704"/>
      <c r="F1802" s="661">
        <v>180</v>
      </c>
      <c r="G1802" s="665">
        <v>0.50700000000000001</v>
      </c>
      <c r="H1802" s="663">
        <f t="shared" si="448"/>
        <v>83.239260000000002</v>
      </c>
      <c r="I1802" s="380"/>
      <c r="J1802" s="631"/>
      <c r="K1802" s="593">
        <f t="shared" si="428"/>
        <v>0</v>
      </c>
      <c r="L1802" s="594"/>
      <c r="M1802" s="600"/>
      <c r="N1802" s="600">
        <v>0</v>
      </c>
      <c r="O1802" s="287">
        <f t="shared" si="429"/>
        <v>0</v>
      </c>
      <c r="P1802" s="287">
        <f t="shared" si="430"/>
        <v>0</v>
      </c>
      <c r="Q1802" s="288"/>
      <c r="R1802" s="311" t="str">
        <f>IF(P141&gt;0,"xy","")</f>
        <v/>
      </c>
      <c r="S1802" s="378" t="str">
        <f t="shared" si="444"/>
        <v/>
      </c>
    </row>
    <row r="1803" spans="2:19" hidden="1" x14ac:dyDescent="0.2">
      <c r="B1803" s="730" t="s">
        <v>168</v>
      </c>
      <c r="C1803" s="300"/>
      <c r="D1803" s="383" t="s">
        <v>349</v>
      </c>
      <c r="E1803" s="704"/>
      <c r="F1803" s="661">
        <v>20</v>
      </c>
      <c r="G1803" s="665">
        <v>5.1999999999999998E-2</v>
      </c>
      <c r="H1803" s="663">
        <f t="shared" si="448"/>
        <v>1.20536</v>
      </c>
      <c r="I1803" s="380"/>
      <c r="J1803" s="631"/>
      <c r="K1803" s="593">
        <f t="shared" ref="K1803:K2044" si="449">IF(ISBLANK(I1803),0,ROUND(J1803*(1+$F$10)*(1+$F$11*E1803),2))</f>
        <v>0</v>
      </c>
      <c r="L1803" s="594"/>
      <c r="M1803" s="600"/>
      <c r="N1803" s="600">
        <v>0</v>
      </c>
      <c r="O1803" s="287">
        <f t="shared" si="429"/>
        <v>0</v>
      </c>
      <c r="P1803" s="287">
        <f t="shared" si="430"/>
        <v>0</v>
      </c>
      <c r="Q1803" s="288"/>
      <c r="R1803" s="243"/>
      <c r="S1803" s="378" t="str">
        <f t="shared" si="444"/>
        <v/>
      </c>
    </row>
    <row r="1804" spans="2:19" hidden="1" x14ac:dyDescent="0.2">
      <c r="B1804" s="730" t="s">
        <v>1828</v>
      </c>
      <c r="C1804" s="300" t="s">
        <v>207</v>
      </c>
      <c r="D1804" s="383" t="s">
        <v>350</v>
      </c>
      <c r="E1804" s="704"/>
      <c r="F1804" s="661"/>
      <c r="G1804" s="665"/>
      <c r="H1804" s="664">
        <f>SUM(H1805:H1807)</f>
        <v>257.39480000000003</v>
      </c>
      <c r="I1804" s="380">
        <v>387.28999999999996</v>
      </c>
      <c r="J1804" s="631">
        <f>IF(ISBLANK(I1804),"",SUM(H1804:I1804))</f>
        <v>644.6848</v>
      </c>
      <c r="K1804" s="593">
        <f t="shared" si="449"/>
        <v>817.14</v>
      </c>
      <c r="L1804" s="594" t="s">
        <v>16</v>
      </c>
      <c r="M1804" s="30"/>
      <c r="N1804" s="30">
        <v>817.14</v>
      </c>
      <c r="O1804" s="287">
        <f t="shared" si="429"/>
        <v>0</v>
      </c>
      <c r="P1804" s="287">
        <f t="shared" si="430"/>
        <v>0</v>
      </c>
      <c r="Q1804" s="288"/>
      <c r="R1804" s="311" t="str">
        <f>IF(P141&gt;0,"xy","")</f>
        <v/>
      </c>
      <c r="S1804" s="378" t="str">
        <f t="shared" si="444"/>
        <v/>
      </c>
    </row>
    <row r="1805" spans="2:19" hidden="1" x14ac:dyDescent="0.2">
      <c r="B1805" s="730" t="s">
        <v>168</v>
      </c>
      <c r="C1805" s="300"/>
      <c r="D1805" s="383" t="s">
        <v>213</v>
      </c>
      <c r="E1805" s="704"/>
      <c r="F1805" s="661">
        <v>500</v>
      </c>
      <c r="G1805" s="665">
        <v>0.18</v>
      </c>
      <c r="H1805" s="664">
        <f>IF(F1805&lt;=30,(0.75*F1805+6.29)*G1805,((0.75*30+6.29)+0.62*(F1805-30))*G1805)</f>
        <v>57.6342</v>
      </c>
      <c r="I1805" s="380"/>
      <c r="J1805" s="631"/>
      <c r="K1805" s="593">
        <f t="shared" si="449"/>
        <v>0</v>
      </c>
      <c r="L1805" s="594"/>
      <c r="M1805" s="600"/>
      <c r="N1805" s="600">
        <v>0</v>
      </c>
      <c r="O1805" s="287">
        <f t="shared" si="429"/>
        <v>0</v>
      </c>
      <c r="P1805" s="287">
        <f t="shared" si="430"/>
        <v>0</v>
      </c>
      <c r="Q1805" s="288"/>
      <c r="R1805" s="311" t="str">
        <f>IF(P141&gt;0,"xy","")</f>
        <v/>
      </c>
      <c r="S1805" s="378" t="str">
        <f t="shared" si="444"/>
        <v/>
      </c>
    </row>
    <row r="1806" spans="2:19" hidden="1" x14ac:dyDescent="0.2">
      <c r="B1806" s="730" t="s">
        <v>168</v>
      </c>
      <c r="C1806" s="300"/>
      <c r="D1806" s="383" t="s">
        <v>249</v>
      </c>
      <c r="E1806" s="704"/>
      <c r="F1806" s="661">
        <v>180</v>
      </c>
      <c r="G1806" s="665">
        <v>1.06</v>
      </c>
      <c r="H1806" s="663">
        <f t="shared" ref="H1806:H1807" si="450">IF(F1806&lt;=30,(1.05*F1806+2.18)*G1806,((1.05*30+2.18)+0.87*(F1806-30))*G1806)</f>
        <v>174.03080000000003</v>
      </c>
      <c r="I1806" s="380"/>
      <c r="J1806" s="631"/>
      <c r="K1806" s="593">
        <f t="shared" si="449"/>
        <v>0</v>
      </c>
      <c r="L1806" s="594"/>
      <c r="M1806" s="600"/>
      <c r="N1806" s="600">
        <v>0</v>
      </c>
      <c r="O1806" s="287">
        <f t="shared" si="429"/>
        <v>0</v>
      </c>
      <c r="P1806" s="287">
        <f t="shared" si="430"/>
        <v>0</v>
      </c>
      <c r="Q1806" s="288"/>
      <c r="R1806" s="311" t="str">
        <f>IF(P141&gt;0,"xy","")</f>
        <v/>
      </c>
      <c r="S1806" s="378" t="str">
        <f t="shared" si="444"/>
        <v/>
      </c>
    </row>
    <row r="1807" spans="2:19" hidden="1" x14ac:dyDescent="0.2">
      <c r="B1807" s="730" t="s">
        <v>168</v>
      </c>
      <c r="C1807" s="300"/>
      <c r="D1807" s="383" t="s">
        <v>253</v>
      </c>
      <c r="E1807" s="704"/>
      <c r="F1807" s="661">
        <v>20</v>
      </c>
      <c r="G1807" s="665">
        <v>1.1100000000000001</v>
      </c>
      <c r="H1807" s="663">
        <f t="shared" si="450"/>
        <v>25.729800000000001</v>
      </c>
      <c r="I1807" s="380"/>
      <c r="J1807" s="631"/>
      <c r="K1807" s="593">
        <f t="shared" si="449"/>
        <v>0</v>
      </c>
      <c r="L1807" s="594"/>
      <c r="M1807" s="600"/>
      <c r="N1807" s="600">
        <v>0</v>
      </c>
      <c r="O1807" s="287">
        <f t="shared" si="429"/>
        <v>0</v>
      </c>
      <c r="P1807" s="287">
        <f t="shared" si="430"/>
        <v>0</v>
      </c>
      <c r="Q1807" s="288"/>
      <c r="R1807" s="243"/>
      <c r="S1807" s="378" t="str">
        <f t="shared" si="444"/>
        <v/>
      </c>
    </row>
    <row r="1808" spans="2:19" hidden="1" x14ac:dyDescent="0.2">
      <c r="B1808" s="730" t="s">
        <v>1834</v>
      </c>
      <c r="C1808" s="300" t="s">
        <v>207</v>
      </c>
      <c r="D1808" s="383" t="s">
        <v>778</v>
      </c>
      <c r="E1808" s="704"/>
      <c r="F1808" s="661"/>
      <c r="G1808" s="665"/>
      <c r="H1808" s="664">
        <f>SUM(H1809:H1811)</f>
        <v>199.28673000000001</v>
      </c>
      <c r="I1808" s="380">
        <v>345.21999999999997</v>
      </c>
      <c r="J1808" s="631">
        <f>IF(ISBLANK(I1808),"",SUM(H1808:I1808))</f>
        <v>544.50672999999995</v>
      </c>
      <c r="K1808" s="593">
        <f t="shared" si="449"/>
        <v>690.16</v>
      </c>
      <c r="L1808" s="594" t="s">
        <v>16</v>
      </c>
      <c r="M1808" s="30"/>
      <c r="N1808" s="30">
        <v>690.16</v>
      </c>
      <c r="O1808" s="287">
        <f t="shared" si="429"/>
        <v>0</v>
      </c>
      <c r="P1808" s="287">
        <f t="shared" si="430"/>
        <v>0</v>
      </c>
      <c r="Q1808" s="288"/>
      <c r="R1808" s="311" t="str">
        <f>IF(P141&gt;0,"xy","")</f>
        <v/>
      </c>
      <c r="S1808" s="378" t="str">
        <f t="shared" si="444"/>
        <v/>
      </c>
    </row>
    <row r="1809" spans="2:19" hidden="1" x14ac:dyDescent="0.2">
      <c r="B1809" s="730" t="s">
        <v>168</v>
      </c>
      <c r="C1809" s="300"/>
      <c r="D1809" s="383" t="s">
        <v>213</v>
      </c>
      <c r="E1809" s="704"/>
      <c r="F1809" s="661">
        <v>500</v>
      </c>
      <c r="G1809" s="665">
        <v>0.189</v>
      </c>
      <c r="H1809" s="664">
        <f>IF(F1809&lt;=30,(0.75*F1809+6.29)*G1809,((0.75*30+6.29)+0.62*(F1809-30))*G1809)</f>
        <v>60.515909999999998</v>
      </c>
      <c r="I1809" s="380"/>
      <c r="J1809" s="631"/>
      <c r="K1809" s="593">
        <f t="shared" si="449"/>
        <v>0</v>
      </c>
      <c r="L1809" s="594"/>
      <c r="M1809" s="600"/>
      <c r="N1809" s="600">
        <v>0</v>
      </c>
      <c r="O1809" s="287">
        <f t="shared" si="429"/>
        <v>0</v>
      </c>
      <c r="P1809" s="287">
        <f t="shared" si="430"/>
        <v>0</v>
      </c>
      <c r="Q1809" s="288"/>
      <c r="R1809" s="311" t="str">
        <f>IF(P141&gt;0,"xy","")</f>
        <v/>
      </c>
      <c r="S1809" s="378" t="str">
        <f t="shared" si="444"/>
        <v/>
      </c>
    </row>
    <row r="1810" spans="2:19" hidden="1" x14ac:dyDescent="0.2">
      <c r="B1810" s="730" t="s">
        <v>168</v>
      </c>
      <c r="C1810" s="300"/>
      <c r="D1810" s="383" t="s">
        <v>249</v>
      </c>
      <c r="E1810" s="704"/>
      <c r="F1810" s="661">
        <v>180</v>
      </c>
      <c r="G1810" s="665">
        <v>0.67200000000000004</v>
      </c>
      <c r="H1810" s="663">
        <f t="shared" ref="H1810:H1811" si="451">IF(F1810&lt;=30,(1.05*F1810+2.18)*G1810,((1.05*30+2.18)+0.87*(F1810-30))*G1810)</f>
        <v>110.32896000000001</v>
      </c>
      <c r="I1810" s="380"/>
      <c r="J1810" s="631"/>
      <c r="K1810" s="593">
        <f t="shared" si="449"/>
        <v>0</v>
      </c>
      <c r="L1810" s="594"/>
      <c r="M1810" s="600"/>
      <c r="N1810" s="600">
        <v>0</v>
      </c>
      <c r="O1810" s="287">
        <f t="shared" si="429"/>
        <v>0</v>
      </c>
      <c r="P1810" s="287">
        <f t="shared" si="430"/>
        <v>0</v>
      </c>
      <c r="Q1810" s="288"/>
      <c r="R1810" s="311" t="str">
        <f>IF(P141&gt;0,"xy","")</f>
        <v/>
      </c>
      <c r="S1810" s="378" t="str">
        <f t="shared" si="444"/>
        <v/>
      </c>
    </row>
    <row r="1811" spans="2:19" hidden="1" x14ac:dyDescent="0.2">
      <c r="B1811" s="730" t="s">
        <v>168</v>
      </c>
      <c r="C1811" s="300"/>
      <c r="D1811" s="383" t="s">
        <v>352</v>
      </c>
      <c r="E1811" s="704"/>
      <c r="F1811" s="661">
        <v>20</v>
      </c>
      <c r="G1811" s="665">
        <v>1.2270000000000001</v>
      </c>
      <c r="H1811" s="663">
        <f t="shared" si="451"/>
        <v>28.441860000000002</v>
      </c>
      <c r="I1811" s="380"/>
      <c r="J1811" s="631"/>
      <c r="K1811" s="593">
        <f t="shared" si="449"/>
        <v>0</v>
      </c>
      <c r="L1811" s="594"/>
      <c r="M1811" s="600"/>
      <c r="N1811" s="600">
        <v>0</v>
      </c>
      <c r="O1811" s="287">
        <f t="shared" si="429"/>
        <v>0</v>
      </c>
      <c r="P1811" s="287">
        <f t="shared" si="430"/>
        <v>0</v>
      </c>
      <c r="Q1811" s="288"/>
      <c r="R1811" s="311" t="str">
        <f>IF(P141&gt;0,"xy","")</f>
        <v/>
      </c>
      <c r="S1811" s="378" t="str">
        <f t="shared" si="444"/>
        <v/>
      </c>
    </row>
    <row r="1812" spans="2:19" hidden="1" x14ac:dyDescent="0.2">
      <c r="B1812" s="730">
        <v>605100</v>
      </c>
      <c r="C1812" s="300" t="s">
        <v>207</v>
      </c>
      <c r="D1812" s="383" t="s">
        <v>1702</v>
      </c>
      <c r="E1812" s="704"/>
      <c r="F1812" s="661"/>
      <c r="G1812" s="665"/>
      <c r="H1812" s="664">
        <f>SUM(H1813:H1815)</f>
        <v>263.79860000000002</v>
      </c>
      <c r="I1812" s="380">
        <v>397.41999999999996</v>
      </c>
      <c r="J1812" s="631">
        <f>IF(ISBLANK(I1812),"",SUM(H1812:I1812))</f>
        <v>661.21859999999992</v>
      </c>
      <c r="K1812" s="593">
        <f t="shared" si="449"/>
        <v>838.09</v>
      </c>
      <c r="L1812" s="594" t="s">
        <v>16</v>
      </c>
      <c r="M1812" s="30"/>
      <c r="N1812" s="30">
        <v>838.09</v>
      </c>
      <c r="O1812" s="287">
        <f t="shared" si="429"/>
        <v>0</v>
      </c>
      <c r="P1812" s="287">
        <f t="shared" si="430"/>
        <v>0</v>
      </c>
      <c r="Q1812" s="288"/>
      <c r="R1812" s="243"/>
      <c r="S1812" s="378" t="str">
        <f t="shared" si="444"/>
        <v/>
      </c>
    </row>
    <row r="1813" spans="2:19" hidden="1" x14ac:dyDescent="0.2">
      <c r="B1813" s="730" t="s">
        <v>168</v>
      </c>
      <c r="C1813" s="300"/>
      <c r="D1813" s="383" t="s">
        <v>213</v>
      </c>
      <c r="E1813" s="704"/>
      <c r="F1813" s="661">
        <v>500</v>
      </c>
      <c r="G1813" s="665">
        <v>0.2</v>
      </c>
      <c r="H1813" s="664">
        <f>IF(F1813&lt;=30,(0.75*F1813+6.29)*G1813,((0.75*30+6.29)+0.62*(F1813-30))*G1813)</f>
        <v>64.037999999999997</v>
      </c>
      <c r="I1813" s="380"/>
      <c r="J1813" s="631"/>
      <c r="K1813" s="593">
        <f t="shared" si="449"/>
        <v>0</v>
      </c>
      <c r="L1813" s="594"/>
      <c r="M1813" s="600"/>
      <c r="N1813" s="600">
        <v>0</v>
      </c>
      <c r="O1813" s="287">
        <f t="shared" si="429"/>
        <v>0</v>
      </c>
      <c r="P1813" s="287">
        <f t="shared" si="430"/>
        <v>0</v>
      </c>
      <c r="Q1813" s="288"/>
      <c r="R1813" s="311" t="str">
        <f>IF(P141&gt;0,"xy","")</f>
        <v/>
      </c>
      <c r="S1813" s="378" t="str">
        <f t="shared" si="444"/>
        <v/>
      </c>
    </row>
    <row r="1814" spans="2:19" hidden="1" x14ac:dyDescent="0.2">
      <c r="B1814" s="730" t="s">
        <v>168</v>
      </c>
      <c r="C1814" s="300"/>
      <c r="D1814" s="383" t="s">
        <v>249</v>
      </c>
      <c r="E1814" s="704"/>
      <c r="F1814" s="661">
        <v>180</v>
      </c>
      <c r="G1814" s="665">
        <v>1.06</v>
      </c>
      <c r="H1814" s="663">
        <f t="shared" ref="H1814:H1815" si="452">IF(F1814&lt;=30,(1.05*F1814+2.18)*G1814,((1.05*30+2.18)+0.87*(F1814-30))*G1814)</f>
        <v>174.03080000000003</v>
      </c>
      <c r="I1814" s="380"/>
      <c r="J1814" s="631"/>
      <c r="K1814" s="593">
        <f t="shared" si="449"/>
        <v>0</v>
      </c>
      <c r="L1814" s="594"/>
      <c r="M1814" s="600"/>
      <c r="N1814" s="600">
        <v>0</v>
      </c>
      <c r="O1814" s="287">
        <f t="shared" si="429"/>
        <v>0</v>
      </c>
      <c r="P1814" s="287">
        <f t="shared" si="430"/>
        <v>0</v>
      </c>
      <c r="Q1814" s="288"/>
      <c r="R1814" s="311" t="str">
        <f>IF(P141&gt;0,"xy","")</f>
        <v/>
      </c>
      <c r="S1814" s="378" t="str">
        <f t="shared" si="444"/>
        <v/>
      </c>
    </row>
    <row r="1815" spans="2:19" hidden="1" x14ac:dyDescent="0.2">
      <c r="B1815" s="730" t="s">
        <v>168</v>
      </c>
      <c r="C1815" s="300"/>
      <c r="D1815" s="383" t="s">
        <v>253</v>
      </c>
      <c r="E1815" s="704"/>
      <c r="F1815" s="661">
        <v>20</v>
      </c>
      <c r="G1815" s="665">
        <v>1.1100000000000001</v>
      </c>
      <c r="H1815" s="663">
        <f t="shared" si="452"/>
        <v>25.729800000000001</v>
      </c>
      <c r="I1815" s="380"/>
      <c r="J1815" s="631"/>
      <c r="K1815" s="593">
        <f t="shared" si="449"/>
        <v>0</v>
      </c>
      <c r="L1815" s="594"/>
      <c r="M1815" s="600"/>
      <c r="N1815" s="600">
        <v>0</v>
      </c>
      <c r="O1815" s="287">
        <f t="shared" si="429"/>
        <v>0</v>
      </c>
      <c r="P1815" s="287">
        <f t="shared" si="430"/>
        <v>0</v>
      </c>
      <c r="Q1815" s="288"/>
      <c r="R1815" s="311" t="str">
        <f>IF(P141&gt;0,"xy","")</f>
        <v/>
      </c>
      <c r="S1815" s="378" t="str">
        <f t="shared" si="444"/>
        <v/>
      </c>
    </row>
    <row r="1816" spans="2:19" hidden="1" x14ac:dyDescent="0.2">
      <c r="B1816" s="730" t="s">
        <v>1836</v>
      </c>
      <c r="C1816" s="300" t="s">
        <v>207</v>
      </c>
      <c r="D1816" s="383" t="s">
        <v>353</v>
      </c>
      <c r="E1816" s="704"/>
      <c r="F1816" s="661"/>
      <c r="G1816" s="665"/>
      <c r="H1816" s="664">
        <f>SUM(H1817:H1819)</f>
        <v>269.79390000000001</v>
      </c>
      <c r="I1816" s="380">
        <v>428.6</v>
      </c>
      <c r="J1816" s="631">
        <f>IF(ISBLANK(I1816),"",SUM(H1816:I1816))</f>
        <v>698.39390000000003</v>
      </c>
      <c r="K1816" s="593">
        <f t="shared" si="449"/>
        <v>885.21</v>
      </c>
      <c r="L1816" s="594" t="s">
        <v>16</v>
      </c>
      <c r="M1816" s="30"/>
      <c r="N1816" s="30">
        <v>885.21</v>
      </c>
      <c r="O1816" s="287">
        <f t="shared" si="429"/>
        <v>0</v>
      </c>
      <c r="P1816" s="287">
        <f t="shared" si="430"/>
        <v>0</v>
      </c>
      <c r="Q1816" s="288"/>
      <c r="R1816" s="243"/>
      <c r="S1816" s="378" t="str">
        <f t="shared" si="444"/>
        <v/>
      </c>
    </row>
    <row r="1817" spans="2:19" hidden="1" x14ac:dyDescent="0.2">
      <c r="B1817" s="730" t="s">
        <v>168</v>
      </c>
      <c r="C1817" s="300"/>
      <c r="D1817" s="383" t="s">
        <v>213</v>
      </c>
      <c r="E1817" s="704"/>
      <c r="F1817" s="661">
        <v>500</v>
      </c>
      <c r="G1817" s="665">
        <v>0.27</v>
      </c>
      <c r="H1817" s="664">
        <f>IF(F1817&lt;=30,(0.75*F1817+6.29)*G1817,((0.75*30+6.29)+0.62*(F1817-30))*G1817)</f>
        <v>86.451300000000003</v>
      </c>
      <c r="I1817" s="380"/>
      <c r="J1817" s="631"/>
      <c r="K1817" s="593">
        <f t="shared" si="449"/>
        <v>0</v>
      </c>
      <c r="L1817" s="594"/>
      <c r="M1817" s="600"/>
      <c r="N1817" s="600">
        <v>0</v>
      </c>
      <c r="O1817" s="287">
        <f t="shared" si="429"/>
        <v>0</v>
      </c>
      <c r="P1817" s="287">
        <f t="shared" si="430"/>
        <v>0</v>
      </c>
      <c r="Q1817" s="288"/>
      <c r="R1817" s="311" t="str">
        <f>IF(P141&gt;0,"xy","")</f>
        <v/>
      </c>
      <c r="S1817" s="378" t="str">
        <f t="shared" si="444"/>
        <v/>
      </c>
    </row>
    <row r="1818" spans="2:19" hidden="1" x14ac:dyDescent="0.2">
      <c r="B1818" s="730" t="s">
        <v>168</v>
      </c>
      <c r="C1818" s="300"/>
      <c r="D1818" s="383" t="s">
        <v>249</v>
      </c>
      <c r="E1818" s="704"/>
      <c r="F1818" s="661">
        <v>180</v>
      </c>
      <c r="G1818" s="665">
        <v>0.96</v>
      </c>
      <c r="H1818" s="663">
        <f t="shared" ref="H1818:H1819" si="453">IF(F1818&lt;=30,(1.05*F1818+2.18)*G1818,((1.05*30+2.18)+0.87*(F1818-30))*G1818)</f>
        <v>157.61279999999999</v>
      </c>
      <c r="I1818" s="380"/>
      <c r="J1818" s="631"/>
      <c r="K1818" s="593">
        <f t="shared" si="449"/>
        <v>0</v>
      </c>
      <c r="L1818" s="594"/>
      <c r="M1818" s="600"/>
      <c r="N1818" s="600">
        <v>0</v>
      </c>
      <c r="O1818" s="287">
        <f t="shared" si="429"/>
        <v>0</v>
      </c>
      <c r="P1818" s="287">
        <f t="shared" si="430"/>
        <v>0</v>
      </c>
      <c r="Q1818" s="288"/>
      <c r="R1818" s="311" t="str">
        <f>IF(P141&gt;0,"xy","")</f>
        <v/>
      </c>
      <c r="S1818" s="378" t="str">
        <f t="shared" si="444"/>
        <v/>
      </c>
    </row>
    <row r="1819" spans="2:19" hidden="1" x14ac:dyDescent="0.2">
      <c r="B1819" s="730" t="s">
        <v>168</v>
      </c>
      <c r="C1819" s="300"/>
      <c r="D1819" s="383" t="s">
        <v>253</v>
      </c>
      <c r="E1819" s="704"/>
      <c r="F1819" s="661">
        <v>20</v>
      </c>
      <c r="G1819" s="665">
        <v>1.1100000000000001</v>
      </c>
      <c r="H1819" s="663">
        <f t="shared" si="453"/>
        <v>25.729800000000001</v>
      </c>
      <c r="I1819" s="380"/>
      <c r="J1819" s="631"/>
      <c r="K1819" s="593">
        <f t="shared" si="449"/>
        <v>0</v>
      </c>
      <c r="L1819" s="594"/>
      <c r="M1819" s="600"/>
      <c r="N1819" s="600">
        <v>0</v>
      </c>
      <c r="O1819" s="287">
        <f t="shared" si="429"/>
        <v>0</v>
      </c>
      <c r="P1819" s="287">
        <f t="shared" si="430"/>
        <v>0</v>
      </c>
      <c r="Q1819" s="288"/>
      <c r="R1819" s="311" t="str">
        <f>IF(P141&gt;0,"xy","")</f>
        <v/>
      </c>
      <c r="S1819" s="378" t="str">
        <f t="shared" si="444"/>
        <v/>
      </c>
    </row>
    <row r="1820" spans="2:19" hidden="1" x14ac:dyDescent="0.2">
      <c r="B1820" s="730" t="s">
        <v>1917</v>
      </c>
      <c r="C1820" s="300" t="s">
        <v>207</v>
      </c>
      <c r="D1820" s="383" t="s">
        <v>354</v>
      </c>
      <c r="E1820" s="704"/>
      <c r="F1820" s="661"/>
      <c r="G1820" s="665"/>
      <c r="H1820" s="664">
        <f>SUM(H1821:H1823)</f>
        <v>282.60228000000001</v>
      </c>
      <c r="I1820" s="380">
        <v>457.4</v>
      </c>
      <c r="J1820" s="631">
        <f>IF(ISBLANK(I1820),"",SUM(H1820:I1820))</f>
        <v>740.00227999999993</v>
      </c>
      <c r="K1820" s="593">
        <f t="shared" si="449"/>
        <v>937.95</v>
      </c>
      <c r="L1820" s="594" t="s">
        <v>16</v>
      </c>
      <c r="M1820" s="30"/>
      <c r="N1820" s="30">
        <v>937.95</v>
      </c>
      <c r="O1820" s="287">
        <f t="shared" si="429"/>
        <v>0</v>
      </c>
      <c r="P1820" s="287">
        <f t="shared" si="430"/>
        <v>0</v>
      </c>
      <c r="Q1820" s="288"/>
      <c r="R1820" s="243"/>
      <c r="S1820" s="378" t="str">
        <f t="shared" si="444"/>
        <v/>
      </c>
    </row>
    <row r="1821" spans="2:19" hidden="1" x14ac:dyDescent="0.2">
      <c r="B1821" s="730" t="s">
        <v>168</v>
      </c>
      <c r="C1821" s="300"/>
      <c r="D1821" s="383" t="s">
        <v>213</v>
      </c>
      <c r="E1821" s="704"/>
      <c r="F1821" s="661">
        <v>500</v>
      </c>
      <c r="G1821" s="665">
        <v>0.33</v>
      </c>
      <c r="H1821" s="664">
        <f>IF(F1821&lt;=30,(0.75*F1821+6.29)*G1821,((0.75*30+6.29)+0.62*(F1821-30))*G1821)</f>
        <v>105.6627</v>
      </c>
      <c r="I1821" s="380"/>
      <c r="J1821" s="631"/>
      <c r="K1821" s="593">
        <f t="shared" si="449"/>
        <v>0</v>
      </c>
      <c r="L1821" s="594"/>
      <c r="M1821" s="600"/>
      <c r="N1821" s="600">
        <v>0</v>
      </c>
      <c r="O1821" s="287">
        <f t="shared" si="429"/>
        <v>0</v>
      </c>
      <c r="P1821" s="287">
        <f t="shared" si="430"/>
        <v>0</v>
      </c>
      <c r="Q1821" s="288"/>
      <c r="R1821" s="311" t="str">
        <f>IF(P141&gt;0,"xy","")</f>
        <v/>
      </c>
      <c r="S1821" s="378" t="str">
        <f t="shared" si="444"/>
        <v/>
      </c>
    </row>
    <row r="1822" spans="2:19" hidden="1" x14ac:dyDescent="0.2">
      <c r="B1822" s="730" t="s">
        <v>168</v>
      </c>
      <c r="C1822" s="300"/>
      <c r="D1822" s="383" t="s">
        <v>249</v>
      </c>
      <c r="E1822" s="704"/>
      <c r="F1822" s="661">
        <v>180</v>
      </c>
      <c r="G1822" s="665">
        <v>0.92100000000000004</v>
      </c>
      <c r="H1822" s="663">
        <f t="shared" ref="H1822:H1823" si="454">IF(F1822&lt;=30,(1.05*F1822+2.18)*G1822,((1.05*30+2.18)+0.87*(F1822-30))*G1822)</f>
        <v>151.20978000000002</v>
      </c>
      <c r="I1822" s="380"/>
      <c r="J1822" s="631"/>
      <c r="K1822" s="593">
        <f t="shared" si="449"/>
        <v>0</v>
      </c>
      <c r="L1822" s="594"/>
      <c r="M1822" s="600"/>
      <c r="N1822" s="600">
        <v>0</v>
      </c>
      <c r="O1822" s="287">
        <f t="shared" si="429"/>
        <v>0</v>
      </c>
      <c r="P1822" s="287">
        <f t="shared" si="430"/>
        <v>0</v>
      </c>
      <c r="Q1822" s="288"/>
      <c r="R1822" s="311" t="str">
        <f>IF(P141&gt;0,"xy","")</f>
        <v/>
      </c>
      <c r="S1822" s="378" t="str">
        <f t="shared" si="444"/>
        <v/>
      </c>
    </row>
    <row r="1823" spans="2:19" hidden="1" x14ac:dyDescent="0.2">
      <c r="B1823" s="730" t="s">
        <v>168</v>
      </c>
      <c r="C1823" s="300"/>
      <c r="D1823" s="383" t="s">
        <v>253</v>
      </c>
      <c r="E1823" s="704"/>
      <c r="F1823" s="661">
        <v>20</v>
      </c>
      <c r="G1823" s="665">
        <v>1.1100000000000001</v>
      </c>
      <c r="H1823" s="663">
        <f t="shared" si="454"/>
        <v>25.729800000000001</v>
      </c>
      <c r="I1823" s="380"/>
      <c r="J1823" s="631"/>
      <c r="K1823" s="593">
        <f t="shared" si="449"/>
        <v>0</v>
      </c>
      <c r="L1823" s="594"/>
      <c r="M1823" s="600"/>
      <c r="N1823" s="600">
        <v>0</v>
      </c>
      <c r="O1823" s="287">
        <f t="shared" si="429"/>
        <v>0</v>
      </c>
      <c r="P1823" s="287">
        <f t="shared" si="430"/>
        <v>0</v>
      </c>
      <c r="Q1823" s="288"/>
      <c r="R1823" s="311" t="str">
        <f>IF(P141&gt;0,"xy","")</f>
        <v/>
      </c>
      <c r="S1823" s="378" t="str">
        <f t="shared" si="444"/>
        <v/>
      </c>
    </row>
    <row r="1824" spans="2:19" hidden="1" x14ac:dyDescent="0.2">
      <c r="B1824" s="730" t="s">
        <v>1838</v>
      </c>
      <c r="C1824" s="300" t="s">
        <v>207</v>
      </c>
      <c r="D1824" s="383" t="s">
        <v>355</v>
      </c>
      <c r="E1824" s="704"/>
      <c r="F1824" s="661"/>
      <c r="G1824" s="665"/>
      <c r="H1824" s="664">
        <f>SUM(H1825:H1827)</f>
        <v>303.33876000000004</v>
      </c>
      <c r="I1824" s="380">
        <v>464.24</v>
      </c>
      <c r="J1824" s="631">
        <f>IF(ISBLANK(I1824),"",SUM(H1824:I1824))</f>
        <v>767.5787600000001</v>
      </c>
      <c r="K1824" s="593">
        <f t="shared" si="449"/>
        <v>972.91</v>
      </c>
      <c r="L1824" s="594" t="s">
        <v>16</v>
      </c>
      <c r="M1824" s="30"/>
      <c r="N1824" s="30">
        <v>972.91</v>
      </c>
      <c r="O1824" s="287">
        <f t="shared" si="429"/>
        <v>0</v>
      </c>
      <c r="P1824" s="287">
        <f t="shared" si="430"/>
        <v>0</v>
      </c>
      <c r="Q1824" s="288"/>
      <c r="R1824" s="243"/>
      <c r="S1824" s="378" t="str">
        <f t="shared" si="444"/>
        <v/>
      </c>
    </row>
    <row r="1825" spans="2:19" hidden="1" x14ac:dyDescent="0.2">
      <c r="B1825" s="730" t="s">
        <v>168</v>
      </c>
      <c r="C1825" s="300"/>
      <c r="D1825" s="383" t="s">
        <v>213</v>
      </c>
      <c r="E1825" s="704"/>
      <c r="F1825" s="661">
        <v>500</v>
      </c>
      <c r="G1825" s="665">
        <v>0.34399999999999997</v>
      </c>
      <c r="H1825" s="664">
        <f>IF(F1825&lt;=30,(0.75*F1825+6.29)*G1825,((0.75*30+6.29)+0.62*(F1825-30))*G1825)</f>
        <v>110.14536</v>
      </c>
      <c r="I1825" s="380">
        <v>0</v>
      </c>
      <c r="J1825" s="631"/>
      <c r="K1825" s="593">
        <f t="shared" si="449"/>
        <v>0</v>
      </c>
      <c r="L1825" s="594"/>
      <c r="M1825" s="600"/>
      <c r="N1825" s="600">
        <v>0</v>
      </c>
      <c r="O1825" s="287">
        <f t="shared" si="429"/>
        <v>0</v>
      </c>
      <c r="P1825" s="287">
        <f t="shared" si="430"/>
        <v>0</v>
      </c>
      <c r="Q1825" s="288"/>
      <c r="R1825" s="311" t="str">
        <f>IF(P141&gt;0,"xy","")</f>
        <v/>
      </c>
      <c r="S1825" s="378" t="str">
        <f t="shared" si="444"/>
        <v/>
      </c>
    </row>
    <row r="1826" spans="2:19" hidden="1" x14ac:dyDescent="0.2">
      <c r="B1826" s="730" t="s">
        <v>168</v>
      </c>
      <c r="C1826" s="300"/>
      <c r="D1826" s="383" t="s">
        <v>249</v>
      </c>
      <c r="E1826" s="704"/>
      <c r="F1826" s="661">
        <v>180</v>
      </c>
      <c r="G1826" s="665">
        <v>1.02</v>
      </c>
      <c r="H1826" s="663">
        <f t="shared" ref="H1826:H1827" si="455">IF(F1826&lt;=30,(1.05*F1826+2.18)*G1826,((1.05*30+2.18)+0.87*(F1826-30))*G1826)</f>
        <v>167.46360000000001</v>
      </c>
      <c r="I1826" s="380">
        <v>0</v>
      </c>
      <c r="J1826" s="631"/>
      <c r="K1826" s="593">
        <f t="shared" si="449"/>
        <v>0</v>
      </c>
      <c r="L1826" s="594"/>
      <c r="M1826" s="600"/>
      <c r="N1826" s="600">
        <v>0</v>
      </c>
      <c r="O1826" s="287">
        <f t="shared" si="429"/>
        <v>0</v>
      </c>
      <c r="P1826" s="287">
        <f t="shared" si="430"/>
        <v>0</v>
      </c>
      <c r="Q1826" s="288"/>
      <c r="R1826" s="311" t="str">
        <f>IF(P141&gt;0,"xy","")</f>
        <v/>
      </c>
      <c r="S1826" s="378" t="str">
        <f t="shared" si="444"/>
        <v/>
      </c>
    </row>
    <row r="1827" spans="2:19" hidden="1" x14ac:dyDescent="0.2">
      <c r="B1827" s="730" t="s">
        <v>168</v>
      </c>
      <c r="C1827" s="300"/>
      <c r="D1827" s="383" t="s">
        <v>253</v>
      </c>
      <c r="E1827" s="704"/>
      <c r="F1827" s="661">
        <v>20</v>
      </c>
      <c r="G1827" s="665">
        <v>1.1100000000000001</v>
      </c>
      <c r="H1827" s="663">
        <f t="shared" si="455"/>
        <v>25.729800000000001</v>
      </c>
      <c r="I1827" s="380">
        <v>0</v>
      </c>
      <c r="J1827" s="631"/>
      <c r="K1827" s="593">
        <f t="shared" si="449"/>
        <v>0</v>
      </c>
      <c r="L1827" s="594"/>
      <c r="M1827" s="600"/>
      <c r="N1827" s="600">
        <v>0</v>
      </c>
      <c r="O1827" s="287">
        <f t="shared" si="429"/>
        <v>0</v>
      </c>
      <c r="P1827" s="287">
        <f t="shared" si="430"/>
        <v>0</v>
      </c>
      <c r="Q1827" s="288"/>
      <c r="R1827" s="311" t="str">
        <f>IF(P141&gt;0,"xy","")</f>
        <v/>
      </c>
      <c r="S1827" s="378" t="str">
        <f t="shared" si="444"/>
        <v/>
      </c>
    </row>
    <row r="1828" spans="2:19" hidden="1" x14ac:dyDescent="0.2">
      <c r="B1828" s="730">
        <v>605500</v>
      </c>
      <c r="C1828" s="300" t="s">
        <v>207</v>
      </c>
      <c r="D1828" s="383" t="s">
        <v>1703</v>
      </c>
      <c r="E1828" s="704"/>
      <c r="F1828" s="661"/>
      <c r="G1828" s="665"/>
      <c r="H1828" s="664">
        <f>SUM(H1829:H1831)</f>
        <v>292.65228000000002</v>
      </c>
      <c r="I1828" s="380">
        <v>483.80999999999995</v>
      </c>
      <c r="J1828" s="631">
        <f>IF(ISBLANK(I1828),"",SUM(H1828:I1828))</f>
        <v>776.46227999999996</v>
      </c>
      <c r="K1828" s="593">
        <f t="shared" si="449"/>
        <v>984.17</v>
      </c>
      <c r="L1828" s="594" t="s">
        <v>16</v>
      </c>
      <c r="M1828" s="30"/>
      <c r="N1828" s="30">
        <v>984.17</v>
      </c>
      <c r="O1828" s="287">
        <f t="shared" si="429"/>
        <v>0</v>
      </c>
      <c r="P1828" s="287">
        <f t="shared" si="430"/>
        <v>0</v>
      </c>
      <c r="Q1828" s="288"/>
      <c r="R1828" s="243"/>
      <c r="S1828" s="378" t="str">
        <f t="shared" si="444"/>
        <v/>
      </c>
    </row>
    <row r="1829" spans="2:19" hidden="1" x14ac:dyDescent="0.2">
      <c r="B1829" s="730" t="s">
        <v>168</v>
      </c>
      <c r="C1829" s="300"/>
      <c r="D1829" s="383" t="s">
        <v>213</v>
      </c>
      <c r="E1829" s="704"/>
      <c r="F1829" s="661">
        <v>500</v>
      </c>
      <c r="G1829" s="665">
        <v>0.38600000000000001</v>
      </c>
      <c r="H1829" s="664">
        <f>IF(F1829&lt;=30,(0.75*F1829+6.29)*G1829,((0.75*30+6.29)+0.62*(F1829-30))*G1829)</f>
        <v>123.59334</v>
      </c>
      <c r="I1829" s="380">
        <v>0</v>
      </c>
      <c r="J1829" s="631"/>
      <c r="K1829" s="593">
        <f t="shared" si="449"/>
        <v>0</v>
      </c>
      <c r="L1829" s="594"/>
      <c r="M1829" s="600"/>
      <c r="N1829" s="600">
        <v>0</v>
      </c>
      <c r="O1829" s="287">
        <f t="shared" si="429"/>
        <v>0</v>
      </c>
      <c r="P1829" s="287">
        <f t="shared" si="430"/>
        <v>0</v>
      </c>
      <c r="Q1829" s="288"/>
      <c r="R1829" s="311" t="str">
        <f>IF(P141&gt;0,"xy","")</f>
        <v/>
      </c>
      <c r="S1829" s="378" t="str">
        <f t="shared" si="444"/>
        <v/>
      </c>
    </row>
    <row r="1830" spans="2:19" hidden="1" x14ac:dyDescent="0.2">
      <c r="B1830" s="730" t="s">
        <v>168</v>
      </c>
      <c r="C1830" s="300"/>
      <c r="D1830" s="383" t="s">
        <v>249</v>
      </c>
      <c r="E1830" s="704"/>
      <c r="F1830" s="661">
        <v>180</v>
      </c>
      <c r="G1830" s="665">
        <v>0.873</v>
      </c>
      <c r="H1830" s="663">
        <f t="shared" ref="H1830:H1831" si="456">IF(F1830&lt;=30,(1.05*F1830+2.18)*G1830,((1.05*30+2.18)+0.87*(F1830-30))*G1830)</f>
        <v>143.32914</v>
      </c>
      <c r="I1830" s="380">
        <v>0</v>
      </c>
      <c r="J1830" s="631"/>
      <c r="K1830" s="593">
        <f t="shared" si="449"/>
        <v>0</v>
      </c>
      <c r="L1830" s="594"/>
      <c r="M1830" s="600"/>
      <c r="N1830" s="600">
        <v>0</v>
      </c>
      <c r="O1830" s="287">
        <f t="shared" si="429"/>
        <v>0</v>
      </c>
      <c r="P1830" s="287">
        <f t="shared" si="430"/>
        <v>0</v>
      </c>
      <c r="Q1830" s="288"/>
      <c r="R1830" s="311" t="str">
        <f>IF(P141&gt;0,"xy","")</f>
        <v/>
      </c>
      <c r="S1830" s="378" t="str">
        <f t="shared" si="444"/>
        <v/>
      </c>
    </row>
    <row r="1831" spans="2:19" hidden="1" x14ac:dyDescent="0.2">
      <c r="B1831" s="730" t="s">
        <v>168</v>
      </c>
      <c r="C1831" s="300"/>
      <c r="D1831" s="383" t="s">
        <v>253</v>
      </c>
      <c r="E1831" s="704"/>
      <c r="F1831" s="661">
        <v>20</v>
      </c>
      <c r="G1831" s="665">
        <v>1.1100000000000001</v>
      </c>
      <c r="H1831" s="663">
        <f t="shared" si="456"/>
        <v>25.729800000000001</v>
      </c>
      <c r="I1831" s="380">
        <v>0</v>
      </c>
      <c r="J1831" s="631"/>
      <c r="K1831" s="593">
        <f t="shared" si="449"/>
        <v>0</v>
      </c>
      <c r="L1831" s="594"/>
      <c r="M1831" s="600"/>
      <c r="N1831" s="600">
        <v>0</v>
      </c>
      <c r="O1831" s="287">
        <f t="shared" si="429"/>
        <v>0</v>
      </c>
      <c r="P1831" s="287">
        <f t="shared" si="430"/>
        <v>0</v>
      </c>
      <c r="Q1831" s="288"/>
      <c r="R1831" s="311" t="str">
        <f>IF(P141&gt;0,"xy","")</f>
        <v/>
      </c>
      <c r="S1831" s="378" t="str">
        <f t="shared" si="444"/>
        <v/>
      </c>
    </row>
    <row r="1832" spans="2:19" hidden="1" x14ac:dyDescent="0.2">
      <c r="B1832" s="730">
        <v>605600</v>
      </c>
      <c r="C1832" s="300" t="s">
        <v>207</v>
      </c>
      <c r="D1832" s="383" t="s">
        <v>1704</v>
      </c>
      <c r="E1832" s="704"/>
      <c r="F1832" s="661"/>
      <c r="G1832" s="665"/>
      <c r="H1832" s="664">
        <f>SUM(H1833:H1835)</f>
        <v>294.91890000000001</v>
      </c>
      <c r="I1832" s="380">
        <v>494.62</v>
      </c>
      <c r="J1832" s="631">
        <f>IF(ISBLANK(I1832),"",SUM(H1832:I1832))</f>
        <v>789.53890000000001</v>
      </c>
      <c r="K1832" s="593">
        <f t="shared" si="449"/>
        <v>1000.74</v>
      </c>
      <c r="L1832" s="594" t="s">
        <v>16</v>
      </c>
      <c r="M1832" s="30"/>
      <c r="N1832" s="30">
        <v>1000.74</v>
      </c>
      <c r="O1832" s="287">
        <f t="shared" si="429"/>
        <v>0</v>
      </c>
      <c r="P1832" s="287">
        <f t="shared" si="430"/>
        <v>0</v>
      </c>
      <c r="Q1832" s="288"/>
      <c r="R1832" s="243"/>
      <c r="S1832" s="378" t="str">
        <f t="shared" si="444"/>
        <v/>
      </c>
    </row>
    <row r="1833" spans="2:19" hidden="1" x14ac:dyDescent="0.2">
      <c r="B1833" s="730" t="s">
        <v>168</v>
      </c>
      <c r="C1833" s="300"/>
      <c r="D1833" s="383" t="s">
        <v>213</v>
      </c>
      <c r="E1833" s="704"/>
      <c r="F1833" s="661">
        <v>500</v>
      </c>
      <c r="G1833" s="665">
        <v>0.41</v>
      </c>
      <c r="H1833" s="664">
        <f>IF(F1833&lt;=30,(0.75*F1833+6.29)*G1833,((0.75*30+6.29)+0.62*(F1833-30))*G1833)</f>
        <v>131.27789999999999</v>
      </c>
      <c r="I1833" s="380">
        <v>0</v>
      </c>
      <c r="J1833" s="631"/>
      <c r="K1833" s="593">
        <f t="shared" si="449"/>
        <v>0</v>
      </c>
      <c r="L1833" s="594"/>
      <c r="M1833" s="600"/>
      <c r="N1833" s="600">
        <v>0</v>
      </c>
      <c r="O1833" s="287">
        <f t="shared" si="429"/>
        <v>0</v>
      </c>
      <c r="P1833" s="287">
        <f t="shared" si="430"/>
        <v>0</v>
      </c>
      <c r="Q1833" s="288"/>
      <c r="R1833" s="311" t="str">
        <f>IF(P141&gt;0,"xy","")</f>
        <v/>
      </c>
      <c r="S1833" s="378" t="str">
        <f t="shared" si="444"/>
        <v/>
      </c>
    </row>
    <row r="1834" spans="2:19" hidden="1" x14ac:dyDescent="0.2">
      <c r="B1834" s="730" t="s">
        <v>168</v>
      </c>
      <c r="C1834" s="300"/>
      <c r="D1834" s="383" t="s">
        <v>249</v>
      </c>
      <c r="E1834" s="704"/>
      <c r="F1834" s="661">
        <v>180</v>
      </c>
      <c r="G1834" s="665">
        <v>0.84</v>
      </c>
      <c r="H1834" s="663">
        <f t="shared" ref="H1834:H1835" si="457">IF(F1834&lt;=30,(1.05*F1834+2.18)*G1834,((1.05*30+2.18)+0.87*(F1834-30))*G1834)</f>
        <v>137.91120000000001</v>
      </c>
      <c r="I1834" s="380">
        <v>0</v>
      </c>
      <c r="J1834" s="631"/>
      <c r="K1834" s="593">
        <f t="shared" si="449"/>
        <v>0</v>
      </c>
      <c r="L1834" s="594"/>
      <c r="M1834" s="600"/>
      <c r="N1834" s="600">
        <v>0</v>
      </c>
      <c r="O1834" s="287">
        <f t="shared" si="429"/>
        <v>0</v>
      </c>
      <c r="P1834" s="287">
        <f t="shared" si="430"/>
        <v>0</v>
      </c>
      <c r="Q1834" s="288"/>
      <c r="R1834" s="311" t="str">
        <f>IF(P141&gt;0,"xy","")</f>
        <v/>
      </c>
      <c r="S1834" s="378" t="str">
        <f t="shared" si="444"/>
        <v/>
      </c>
    </row>
    <row r="1835" spans="2:19" hidden="1" x14ac:dyDescent="0.2">
      <c r="B1835" s="730" t="s">
        <v>168</v>
      </c>
      <c r="C1835" s="300"/>
      <c r="D1835" s="383" t="s">
        <v>253</v>
      </c>
      <c r="E1835" s="704"/>
      <c r="F1835" s="661">
        <v>20</v>
      </c>
      <c r="G1835" s="665">
        <v>1.1100000000000001</v>
      </c>
      <c r="H1835" s="663">
        <f t="shared" si="457"/>
        <v>25.729800000000001</v>
      </c>
      <c r="I1835" s="380">
        <v>0</v>
      </c>
      <c r="J1835" s="631"/>
      <c r="K1835" s="593">
        <f t="shared" si="449"/>
        <v>0</v>
      </c>
      <c r="L1835" s="594"/>
      <c r="M1835" s="600"/>
      <c r="N1835" s="600">
        <v>0</v>
      </c>
      <c r="O1835" s="287">
        <f t="shared" si="429"/>
        <v>0</v>
      </c>
      <c r="P1835" s="287">
        <f t="shared" si="430"/>
        <v>0</v>
      </c>
      <c r="Q1835" s="288"/>
      <c r="R1835" s="311" t="str">
        <f>IF(P141&gt;0,"xy","")</f>
        <v/>
      </c>
      <c r="S1835" s="378" t="str">
        <f t="shared" si="444"/>
        <v/>
      </c>
    </row>
    <row r="1836" spans="2:19" hidden="1" x14ac:dyDescent="0.2">
      <c r="B1836" s="730">
        <v>605700</v>
      </c>
      <c r="C1836" s="300" t="s">
        <v>207</v>
      </c>
      <c r="D1836" s="383" t="s">
        <v>1705</v>
      </c>
      <c r="E1836" s="704"/>
      <c r="F1836" s="661"/>
      <c r="G1836" s="665"/>
      <c r="H1836" s="664">
        <f>SUM(H1837:H1839)</f>
        <v>298.86</v>
      </c>
      <c r="I1836" s="380">
        <v>504.14</v>
      </c>
      <c r="J1836" s="631">
        <f>IF(ISBLANK(I1836),"",SUM(H1836:I1836))</f>
        <v>803</v>
      </c>
      <c r="K1836" s="593">
        <f t="shared" si="449"/>
        <v>1017.8</v>
      </c>
      <c r="L1836" s="594" t="s">
        <v>16</v>
      </c>
      <c r="M1836" s="30"/>
      <c r="N1836" s="30">
        <v>1017.8</v>
      </c>
      <c r="O1836" s="287">
        <f t="shared" si="429"/>
        <v>0</v>
      </c>
      <c r="P1836" s="287">
        <f t="shared" si="430"/>
        <v>0</v>
      </c>
      <c r="Q1836" s="288"/>
      <c r="R1836" s="243"/>
      <c r="S1836" s="378" t="str">
        <f t="shared" si="444"/>
        <v/>
      </c>
    </row>
    <row r="1837" spans="2:19" hidden="1" x14ac:dyDescent="0.2">
      <c r="B1837" s="730" t="s">
        <v>168</v>
      </c>
      <c r="C1837" s="300"/>
      <c r="D1837" s="383" t="s">
        <v>213</v>
      </c>
      <c r="E1837" s="704"/>
      <c r="F1837" s="661">
        <v>500</v>
      </c>
      <c r="G1837" s="665">
        <v>0.43</v>
      </c>
      <c r="H1837" s="664">
        <f>IF(F1837&lt;=30,(0.75*F1837+6.29)*G1837,((0.75*30+6.29)+0.62*(F1837-30))*G1837)</f>
        <v>137.68170000000001</v>
      </c>
      <c r="I1837" s="380">
        <v>0</v>
      </c>
      <c r="J1837" s="631"/>
      <c r="K1837" s="593">
        <f t="shared" si="449"/>
        <v>0</v>
      </c>
      <c r="L1837" s="594"/>
      <c r="M1837" s="600"/>
      <c r="N1837" s="600">
        <v>0</v>
      </c>
      <c r="O1837" s="287">
        <f t="shared" si="429"/>
        <v>0</v>
      </c>
      <c r="P1837" s="287">
        <f t="shared" si="430"/>
        <v>0</v>
      </c>
      <c r="Q1837" s="288"/>
      <c r="R1837" s="311" t="str">
        <f>IF(P141&gt;0,"xy","")</f>
        <v/>
      </c>
      <c r="S1837" s="378" t="str">
        <f t="shared" si="444"/>
        <v/>
      </c>
    </row>
    <row r="1838" spans="2:19" hidden="1" x14ac:dyDescent="0.2">
      <c r="B1838" s="730" t="s">
        <v>168</v>
      </c>
      <c r="C1838" s="300"/>
      <c r="D1838" s="383" t="s">
        <v>249</v>
      </c>
      <c r="E1838" s="704"/>
      <c r="F1838" s="661">
        <v>180</v>
      </c>
      <c r="G1838" s="665">
        <v>0.82499999999999996</v>
      </c>
      <c r="H1838" s="663">
        <f t="shared" ref="H1838:H1839" si="458">IF(F1838&lt;=30,(1.05*F1838+2.18)*G1838,((1.05*30+2.18)+0.87*(F1838-30))*G1838)</f>
        <v>135.4485</v>
      </c>
      <c r="I1838" s="380">
        <v>0</v>
      </c>
      <c r="J1838" s="631"/>
      <c r="K1838" s="593">
        <f t="shared" si="449"/>
        <v>0</v>
      </c>
      <c r="L1838" s="594"/>
      <c r="M1838" s="600"/>
      <c r="N1838" s="600">
        <v>0</v>
      </c>
      <c r="O1838" s="287">
        <f t="shared" si="429"/>
        <v>0</v>
      </c>
      <c r="P1838" s="287">
        <f t="shared" si="430"/>
        <v>0</v>
      </c>
      <c r="Q1838" s="288"/>
      <c r="R1838" s="311" t="str">
        <f>IF(P141&gt;0,"xy","")</f>
        <v/>
      </c>
      <c r="S1838" s="378" t="str">
        <f t="shared" si="444"/>
        <v/>
      </c>
    </row>
    <row r="1839" spans="2:19" hidden="1" x14ac:dyDescent="0.2">
      <c r="B1839" s="730" t="s">
        <v>168</v>
      </c>
      <c r="C1839" s="300"/>
      <c r="D1839" s="383" t="s">
        <v>253</v>
      </c>
      <c r="E1839" s="704"/>
      <c r="F1839" s="661">
        <v>20</v>
      </c>
      <c r="G1839" s="665">
        <v>1.1100000000000001</v>
      </c>
      <c r="H1839" s="663">
        <f t="shared" si="458"/>
        <v>25.729800000000001</v>
      </c>
      <c r="I1839" s="380">
        <v>0</v>
      </c>
      <c r="J1839" s="631"/>
      <c r="K1839" s="593">
        <f t="shared" si="449"/>
        <v>0</v>
      </c>
      <c r="L1839" s="594"/>
      <c r="M1839" s="600"/>
      <c r="N1839" s="600">
        <v>0</v>
      </c>
      <c r="O1839" s="287">
        <f t="shared" si="429"/>
        <v>0</v>
      </c>
      <c r="P1839" s="287">
        <f t="shared" si="430"/>
        <v>0</v>
      </c>
      <c r="Q1839" s="288"/>
      <c r="R1839" s="311" t="str">
        <f>IF(P141&gt;0,"xy","")</f>
        <v/>
      </c>
      <c r="S1839" s="378" t="str">
        <f t="shared" si="444"/>
        <v/>
      </c>
    </row>
    <row r="1840" spans="2:19" hidden="1" x14ac:dyDescent="0.2">
      <c r="B1840" s="730">
        <v>605800</v>
      </c>
      <c r="C1840" s="300" t="s">
        <v>207</v>
      </c>
      <c r="D1840" s="383" t="s">
        <v>1706</v>
      </c>
      <c r="E1840" s="704"/>
      <c r="F1840" s="661"/>
      <c r="G1840" s="665"/>
      <c r="H1840" s="664">
        <f>SUM(H1841:H1843)</f>
        <v>300.46094999999997</v>
      </c>
      <c r="I1840" s="380">
        <v>506.66999999999996</v>
      </c>
      <c r="J1840" s="631">
        <f>IF(ISBLANK(I1840),"",SUM(H1840:I1840))</f>
        <v>807.13094999999998</v>
      </c>
      <c r="K1840" s="593">
        <f t="shared" si="449"/>
        <v>1023.04</v>
      </c>
      <c r="L1840" s="594" t="s">
        <v>16</v>
      </c>
      <c r="M1840" s="30"/>
      <c r="N1840" s="30">
        <v>1023.04</v>
      </c>
      <c r="O1840" s="287">
        <f t="shared" si="429"/>
        <v>0</v>
      </c>
      <c r="P1840" s="287">
        <f t="shared" si="430"/>
        <v>0</v>
      </c>
      <c r="Q1840" s="288"/>
      <c r="R1840" s="243"/>
      <c r="S1840" s="378" t="str">
        <f t="shared" si="444"/>
        <v/>
      </c>
    </row>
    <row r="1841" spans="2:19" hidden="1" x14ac:dyDescent="0.2">
      <c r="B1841" s="730" t="s">
        <v>168</v>
      </c>
      <c r="C1841" s="300"/>
      <c r="D1841" s="383" t="s">
        <v>213</v>
      </c>
      <c r="E1841" s="704"/>
      <c r="F1841" s="661">
        <v>500</v>
      </c>
      <c r="G1841" s="665">
        <v>0.435</v>
      </c>
      <c r="H1841" s="664">
        <f>IF(F1841&lt;=30,(0.75*F1841+6.29)*G1841,((0.75*30+6.29)+0.62*(F1841-30))*G1841)</f>
        <v>139.28264999999999</v>
      </c>
      <c r="I1841" s="380">
        <v>0</v>
      </c>
      <c r="J1841" s="631"/>
      <c r="K1841" s="593">
        <f t="shared" si="449"/>
        <v>0</v>
      </c>
      <c r="L1841" s="594"/>
      <c r="M1841" s="600"/>
      <c r="N1841" s="600">
        <v>0</v>
      </c>
      <c r="O1841" s="287">
        <f t="shared" si="429"/>
        <v>0</v>
      </c>
      <c r="P1841" s="287">
        <f t="shared" si="430"/>
        <v>0</v>
      </c>
      <c r="Q1841" s="288"/>
      <c r="R1841" s="311" t="str">
        <f>IF(P141&gt;0,"xy","")</f>
        <v/>
      </c>
      <c r="S1841" s="378" t="str">
        <f t="shared" si="444"/>
        <v/>
      </c>
    </row>
    <row r="1842" spans="2:19" hidden="1" x14ac:dyDescent="0.2">
      <c r="B1842" s="730" t="s">
        <v>168</v>
      </c>
      <c r="C1842" s="300"/>
      <c r="D1842" s="383" t="s">
        <v>249</v>
      </c>
      <c r="E1842" s="704"/>
      <c r="F1842" s="661">
        <v>180</v>
      </c>
      <c r="G1842" s="665">
        <v>0.82499999999999996</v>
      </c>
      <c r="H1842" s="663">
        <f t="shared" ref="H1842:H1843" si="459">IF(F1842&lt;=30,(1.05*F1842+2.18)*G1842,((1.05*30+2.18)+0.87*(F1842-30))*G1842)</f>
        <v>135.4485</v>
      </c>
      <c r="I1842" s="380">
        <v>0</v>
      </c>
      <c r="J1842" s="631"/>
      <c r="K1842" s="593">
        <f t="shared" si="449"/>
        <v>0</v>
      </c>
      <c r="L1842" s="594"/>
      <c r="M1842" s="600"/>
      <c r="N1842" s="600">
        <v>0</v>
      </c>
      <c r="O1842" s="287">
        <f t="shared" si="429"/>
        <v>0</v>
      </c>
      <c r="P1842" s="287">
        <f t="shared" si="430"/>
        <v>0</v>
      </c>
      <c r="Q1842" s="288"/>
      <c r="R1842" s="311" t="str">
        <f>IF(P141&gt;0,"xy","")</f>
        <v/>
      </c>
      <c r="S1842" s="378" t="str">
        <f t="shared" si="444"/>
        <v/>
      </c>
    </row>
    <row r="1843" spans="2:19" hidden="1" x14ac:dyDescent="0.2">
      <c r="B1843" s="730" t="s">
        <v>168</v>
      </c>
      <c r="C1843" s="300"/>
      <c r="D1843" s="383" t="s">
        <v>253</v>
      </c>
      <c r="E1843" s="704"/>
      <c r="F1843" s="661">
        <v>20</v>
      </c>
      <c r="G1843" s="665">
        <v>1.1100000000000001</v>
      </c>
      <c r="H1843" s="663">
        <f t="shared" si="459"/>
        <v>25.729800000000001</v>
      </c>
      <c r="I1843" s="380">
        <v>0</v>
      </c>
      <c r="J1843" s="631"/>
      <c r="K1843" s="593">
        <f t="shared" si="449"/>
        <v>0</v>
      </c>
      <c r="L1843" s="594"/>
      <c r="M1843" s="600"/>
      <c r="N1843" s="600">
        <v>0</v>
      </c>
      <c r="O1843" s="287">
        <f t="shared" si="429"/>
        <v>0</v>
      </c>
      <c r="P1843" s="287">
        <f t="shared" si="430"/>
        <v>0</v>
      </c>
      <c r="Q1843" s="288"/>
      <c r="R1843" s="311" t="str">
        <f>IF(P141&gt;0,"xy","")</f>
        <v/>
      </c>
      <c r="S1843" s="378" t="str">
        <f t="shared" si="444"/>
        <v/>
      </c>
    </row>
    <row r="1844" spans="2:19" hidden="1" x14ac:dyDescent="0.2">
      <c r="B1844" s="730">
        <v>605900</v>
      </c>
      <c r="C1844" s="300" t="s">
        <v>207</v>
      </c>
      <c r="D1844" s="383" t="s">
        <v>1707</v>
      </c>
      <c r="E1844" s="704"/>
      <c r="F1844" s="661"/>
      <c r="G1844" s="665"/>
      <c r="H1844" s="664">
        <f>SUM(H1845:H1847)</f>
        <v>307.48140000000001</v>
      </c>
      <c r="I1844" s="380">
        <v>527.63</v>
      </c>
      <c r="J1844" s="631">
        <f>IF(ISBLANK(I1844),"",SUM(H1844:I1844))</f>
        <v>835.1114</v>
      </c>
      <c r="K1844" s="593">
        <f t="shared" si="449"/>
        <v>1058.5</v>
      </c>
      <c r="L1844" s="594" t="s">
        <v>16</v>
      </c>
      <c r="M1844" s="30"/>
      <c r="N1844" s="30">
        <v>1058.5</v>
      </c>
      <c r="O1844" s="287">
        <f t="shared" si="429"/>
        <v>0</v>
      </c>
      <c r="P1844" s="287">
        <f t="shared" si="430"/>
        <v>0</v>
      </c>
      <c r="Q1844" s="288"/>
      <c r="R1844" s="243"/>
      <c r="S1844" s="378" t="str">
        <f t="shared" si="444"/>
        <v/>
      </c>
    </row>
    <row r="1845" spans="2:19" hidden="1" x14ac:dyDescent="0.2">
      <c r="B1845" s="730" t="s">
        <v>168</v>
      </c>
      <c r="C1845" s="300"/>
      <c r="D1845" s="383" t="s">
        <v>213</v>
      </c>
      <c r="E1845" s="704"/>
      <c r="F1845" s="661">
        <v>500</v>
      </c>
      <c r="G1845" s="665">
        <v>0.48</v>
      </c>
      <c r="H1845" s="664">
        <f>IF(F1845&lt;=30,(0.75*F1845+6.29)*G1845,((0.75*30+6.29)+0.62*(F1845-30))*G1845)</f>
        <v>153.69119999999998</v>
      </c>
      <c r="I1845" s="380">
        <v>0</v>
      </c>
      <c r="J1845" s="631"/>
      <c r="K1845" s="593">
        <f t="shared" si="449"/>
        <v>0</v>
      </c>
      <c r="L1845" s="594"/>
      <c r="M1845" s="600"/>
      <c r="N1845" s="600">
        <v>0</v>
      </c>
      <c r="O1845" s="287">
        <f t="shared" si="429"/>
        <v>0</v>
      </c>
      <c r="P1845" s="287">
        <f t="shared" si="430"/>
        <v>0</v>
      </c>
      <c r="Q1845" s="288"/>
      <c r="R1845" s="311" t="str">
        <f>IF(P141&gt;0,"xy","")</f>
        <v/>
      </c>
      <c r="S1845" s="378" t="str">
        <f t="shared" si="444"/>
        <v/>
      </c>
    </row>
    <row r="1846" spans="2:19" hidden="1" x14ac:dyDescent="0.2">
      <c r="B1846" s="730" t="s">
        <v>168</v>
      </c>
      <c r="C1846" s="300"/>
      <c r="D1846" s="383" t="s">
        <v>249</v>
      </c>
      <c r="E1846" s="704"/>
      <c r="F1846" s="661">
        <v>180</v>
      </c>
      <c r="G1846" s="665">
        <v>0.78</v>
      </c>
      <c r="H1846" s="663">
        <f t="shared" ref="H1846:H1847" si="460">IF(F1846&lt;=30,(1.05*F1846+2.18)*G1846,((1.05*30+2.18)+0.87*(F1846-30))*G1846)</f>
        <v>128.06040000000002</v>
      </c>
      <c r="I1846" s="380">
        <v>0</v>
      </c>
      <c r="J1846" s="631"/>
      <c r="K1846" s="593">
        <f t="shared" si="449"/>
        <v>0</v>
      </c>
      <c r="L1846" s="594"/>
      <c r="M1846" s="600"/>
      <c r="N1846" s="600">
        <v>0</v>
      </c>
      <c r="O1846" s="287">
        <f t="shared" si="429"/>
        <v>0</v>
      </c>
      <c r="P1846" s="287">
        <f t="shared" si="430"/>
        <v>0</v>
      </c>
      <c r="Q1846" s="288"/>
      <c r="R1846" s="311" t="str">
        <f>IF(P141&gt;0,"xy","")</f>
        <v/>
      </c>
      <c r="S1846" s="378" t="str">
        <f t="shared" si="444"/>
        <v/>
      </c>
    </row>
    <row r="1847" spans="2:19" hidden="1" x14ac:dyDescent="0.2">
      <c r="B1847" s="730" t="s">
        <v>168</v>
      </c>
      <c r="C1847" s="300"/>
      <c r="D1847" s="383" t="s">
        <v>253</v>
      </c>
      <c r="E1847" s="704"/>
      <c r="F1847" s="661">
        <v>20</v>
      </c>
      <c r="G1847" s="665">
        <v>1.1100000000000001</v>
      </c>
      <c r="H1847" s="663">
        <f t="shared" si="460"/>
        <v>25.729800000000001</v>
      </c>
      <c r="I1847" s="380">
        <v>0</v>
      </c>
      <c r="J1847" s="631"/>
      <c r="K1847" s="593">
        <f t="shared" si="449"/>
        <v>0</v>
      </c>
      <c r="L1847" s="594"/>
      <c r="M1847" s="600"/>
      <c r="N1847" s="600">
        <v>0</v>
      </c>
      <c r="O1847" s="287">
        <f t="shared" si="429"/>
        <v>0</v>
      </c>
      <c r="P1847" s="287">
        <f t="shared" si="430"/>
        <v>0</v>
      </c>
      <c r="Q1847" s="288"/>
      <c r="R1847" s="311" t="str">
        <f>IF(P141&gt;0,"xy","")</f>
        <v/>
      </c>
      <c r="S1847" s="378" t="str">
        <f t="shared" si="444"/>
        <v/>
      </c>
    </row>
    <row r="1848" spans="2:19" hidden="1" x14ac:dyDescent="0.2">
      <c r="B1848" s="730">
        <v>606200</v>
      </c>
      <c r="C1848" s="300" t="s">
        <v>207</v>
      </c>
      <c r="D1848" s="383" t="s">
        <v>1708</v>
      </c>
      <c r="E1848" s="704"/>
      <c r="F1848" s="661"/>
      <c r="G1848" s="665"/>
      <c r="H1848" s="664">
        <f>SUM(H1849:H1851)</f>
        <v>312.80208000000005</v>
      </c>
      <c r="I1848" s="380">
        <v>542.62</v>
      </c>
      <c r="J1848" s="631">
        <f>IF(ISBLANK(I1848),"",SUM(H1848:I1848))</f>
        <v>855.42208000000005</v>
      </c>
      <c r="K1848" s="593">
        <f t="shared" si="449"/>
        <v>1084.25</v>
      </c>
      <c r="L1848" s="594" t="s">
        <v>16</v>
      </c>
      <c r="M1848" s="30"/>
      <c r="N1848" s="30">
        <v>1084.25</v>
      </c>
      <c r="O1848" s="287">
        <f t="shared" si="429"/>
        <v>0</v>
      </c>
      <c r="P1848" s="287">
        <f t="shared" si="430"/>
        <v>0</v>
      </c>
      <c r="Q1848" s="288"/>
      <c r="R1848" s="243"/>
      <c r="S1848" s="378" t="str">
        <f t="shared" si="444"/>
        <v/>
      </c>
    </row>
    <row r="1849" spans="2:19" hidden="1" x14ac:dyDescent="0.2">
      <c r="B1849" s="730" t="s">
        <v>168</v>
      </c>
      <c r="C1849" s="300"/>
      <c r="D1849" s="383" t="s">
        <v>213</v>
      </c>
      <c r="E1849" s="704"/>
      <c r="F1849" s="661">
        <v>500</v>
      </c>
      <c r="G1849" s="665">
        <v>0.51200000000000001</v>
      </c>
      <c r="H1849" s="664">
        <f>IF(F1849&lt;=30,(0.75*F1849+6.29)*G1849,((0.75*30+6.29)+0.62*(F1849-30))*G1849)</f>
        <v>163.93728000000002</v>
      </c>
      <c r="I1849" s="380">
        <v>0</v>
      </c>
      <c r="J1849" s="631"/>
      <c r="K1849" s="593">
        <f t="shared" si="449"/>
        <v>0</v>
      </c>
      <c r="L1849" s="594"/>
      <c r="M1849" s="600"/>
      <c r="N1849" s="600">
        <v>0</v>
      </c>
      <c r="O1849" s="287">
        <f t="shared" si="429"/>
        <v>0</v>
      </c>
      <c r="P1849" s="287">
        <f t="shared" si="430"/>
        <v>0</v>
      </c>
      <c r="Q1849" s="288"/>
      <c r="R1849" s="311" t="str">
        <f>IF(P141&gt;0,"xy","")</f>
        <v/>
      </c>
      <c r="S1849" s="378" t="str">
        <f t="shared" si="444"/>
        <v/>
      </c>
    </row>
    <row r="1850" spans="2:19" hidden="1" x14ac:dyDescent="0.2">
      <c r="B1850" s="730" t="s">
        <v>168</v>
      </c>
      <c r="C1850" s="300"/>
      <c r="D1850" s="383" t="s">
        <v>249</v>
      </c>
      <c r="E1850" s="704"/>
      <c r="F1850" s="661">
        <v>180</v>
      </c>
      <c r="G1850" s="665">
        <v>0.75</v>
      </c>
      <c r="H1850" s="663">
        <f t="shared" ref="H1850:H1851" si="461">IF(F1850&lt;=30,(1.05*F1850+2.18)*G1850,((1.05*30+2.18)+0.87*(F1850-30))*G1850)</f>
        <v>123.13500000000001</v>
      </c>
      <c r="I1850" s="380">
        <v>0</v>
      </c>
      <c r="J1850" s="631"/>
      <c r="K1850" s="593">
        <f t="shared" si="449"/>
        <v>0</v>
      </c>
      <c r="L1850" s="594"/>
      <c r="M1850" s="600"/>
      <c r="N1850" s="600">
        <v>0</v>
      </c>
      <c r="O1850" s="287">
        <f t="shared" si="429"/>
        <v>0</v>
      </c>
      <c r="P1850" s="287">
        <f t="shared" si="430"/>
        <v>0</v>
      </c>
      <c r="Q1850" s="288"/>
      <c r="R1850" s="311" t="str">
        <f>IF(P141&gt;0,"xy","")</f>
        <v/>
      </c>
      <c r="S1850" s="378" t="str">
        <f t="shared" si="444"/>
        <v/>
      </c>
    </row>
    <row r="1851" spans="2:19" hidden="1" x14ac:dyDescent="0.2">
      <c r="B1851" s="730" t="s">
        <v>168</v>
      </c>
      <c r="C1851" s="300"/>
      <c r="D1851" s="383" t="s">
        <v>253</v>
      </c>
      <c r="E1851" s="704"/>
      <c r="F1851" s="661">
        <v>20</v>
      </c>
      <c r="G1851" s="665">
        <v>1.1100000000000001</v>
      </c>
      <c r="H1851" s="663">
        <f t="shared" si="461"/>
        <v>25.729800000000001</v>
      </c>
      <c r="I1851" s="380">
        <v>0</v>
      </c>
      <c r="J1851" s="631"/>
      <c r="K1851" s="593">
        <f t="shared" si="449"/>
        <v>0</v>
      </c>
      <c r="L1851" s="594"/>
      <c r="M1851" s="600"/>
      <c r="N1851" s="600">
        <v>0</v>
      </c>
      <c r="O1851" s="287">
        <f t="shared" si="429"/>
        <v>0</v>
      </c>
      <c r="P1851" s="287">
        <f t="shared" si="430"/>
        <v>0</v>
      </c>
      <c r="Q1851" s="288"/>
      <c r="R1851" s="311" t="str">
        <f>IF(P141&gt;0,"xy","")</f>
        <v/>
      </c>
      <c r="S1851" s="378" t="str">
        <f t="shared" si="444"/>
        <v/>
      </c>
    </row>
    <row r="1852" spans="2:19" hidden="1" x14ac:dyDescent="0.2">
      <c r="B1852" s="730">
        <v>622000</v>
      </c>
      <c r="C1852" s="300" t="s">
        <v>207</v>
      </c>
      <c r="D1852" s="383" t="s">
        <v>768</v>
      </c>
      <c r="E1852" s="704"/>
      <c r="F1852" s="661"/>
      <c r="G1852" s="665"/>
      <c r="H1852" s="664">
        <f>SUM(H1853:H1856)</f>
        <v>43.749055999999996</v>
      </c>
      <c r="I1852" s="380">
        <v>350.48</v>
      </c>
      <c r="J1852" s="631">
        <f>IF(ISBLANK(I1852),"",SUM(H1852:I1852))</f>
        <v>394.22905600000001</v>
      </c>
      <c r="K1852" s="593">
        <f t="shared" si="449"/>
        <v>499.69</v>
      </c>
      <c r="L1852" s="594" t="s">
        <v>21</v>
      </c>
      <c r="M1852" s="30"/>
      <c r="N1852" s="30">
        <v>499.69</v>
      </c>
      <c r="O1852" s="287">
        <f t="shared" si="429"/>
        <v>0</v>
      </c>
      <c r="P1852" s="287">
        <f t="shared" si="430"/>
        <v>0</v>
      </c>
      <c r="Q1852" s="288"/>
      <c r="R1852" s="243"/>
      <c r="S1852" s="378" t="str">
        <f t="shared" si="444"/>
        <v/>
      </c>
    </row>
    <row r="1853" spans="2:19" hidden="1" x14ac:dyDescent="0.2">
      <c r="B1853" s="730" t="s">
        <v>168</v>
      </c>
      <c r="C1853" s="300"/>
      <c r="D1853" s="383" t="s">
        <v>213</v>
      </c>
      <c r="E1853" s="704"/>
      <c r="F1853" s="661">
        <v>500</v>
      </c>
      <c r="G1853" s="665">
        <v>4.24E-2</v>
      </c>
      <c r="H1853" s="664">
        <f>IF(F1853&lt;=30,(0.75*F1853+6.29)*G1853,((0.75*30+6.29)+0.62*(F1853-30))*G1853)</f>
        <v>13.576055999999999</v>
      </c>
      <c r="I1853" s="380">
        <v>0</v>
      </c>
      <c r="J1853" s="631"/>
      <c r="K1853" s="593">
        <f t="shared" si="449"/>
        <v>0</v>
      </c>
      <c r="L1853" s="594"/>
      <c r="M1853" s="600"/>
      <c r="N1853" s="600">
        <v>0</v>
      </c>
      <c r="O1853" s="287">
        <f t="shared" si="429"/>
        <v>0</v>
      </c>
      <c r="P1853" s="287">
        <f t="shared" si="430"/>
        <v>0</v>
      </c>
      <c r="Q1853" s="288"/>
      <c r="R1853" s="311" t="str">
        <f>IF(P141&gt;0,"xy","")</f>
        <v/>
      </c>
      <c r="S1853" s="378" t="str">
        <f t="shared" ref="S1853:S1916" si="462">IF(R1853="x","x",IF(R1853="y","x",IF(R1853="xy","x",IF(P1853&gt;0,"x",""))))</f>
        <v/>
      </c>
    </row>
    <row r="1854" spans="2:19" hidden="1" x14ac:dyDescent="0.2">
      <c r="B1854" s="730" t="s">
        <v>168</v>
      </c>
      <c r="C1854" s="300"/>
      <c r="D1854" s="383" t="s">
        <v>249</v>
      </c>
      <c r="E1854" s="704"/>
      <c r="F1854" s="661">
        <v>180</v>
      </c>
      <c r="G1854" s="665">
        <v>0.1507</v>
      </c>
      <c r="H1854" s="663">
        <f t="shared" ref="H1854:H1856" si="463">IF(F1854&lt;=30,(1.05*F1854+2.18)*G1854,((1.05*30+2.18)+0.87*(F1854-30))*G1854)</f>
        <v>24.741925999999999</v>
      </c>
      <c r="I1854" s="380">
        <v>0</v>
      </c>
      <c r="J1854" s="631"/>
      <c r="K1854" s="593">
        <f t="shared" si="449"/>
        <v>0</v>
      </c>
      <c r="L1854" s="594"/>
      <c r="M1854" s="600"/>
      <c r="N1854" s="600">
        <v>0</v>
      </c>
      <c r="O1854" s="287">
        <f t="shared" si="429"/>
        <v>0</v>
      </c>
      <c r="P1854" s="287">
        <f t="shared" si="430"/>
        <v>0</v>
      </c>
      <c r="Q1854" s="288"/>
      <c r="R1854" s="311" t="str">
        <f>IF(P141&gt;0,"xy","")</f>
        <v/>
      </c>
      <c r="S1854" s="378" t="str">
        <f t="shared" si="462"/>
        <v/>
      </c>
    </row>
    <row r="1855" spans="2:19" hidden="1" x14ac:dyDescent="0.2">
      <c r="B1855" s="730" t="s">
        <v>168</v>
      </c>
      <c r="C1855" s="300"/>
      <c r="D1855" s="383" t="s">
        <v>253</v>
      </c>
      <c r="E1855" s="704"/>
      <c r="F1855" s="661">
        <v>20</v>
      </c>
      <c r="G1855" s="665">
        <v>0.17430000000000001</v>
      </c>
      <c r="H1855" s="663">
        <f>IF(F1855&lt;=30,(1.05*F1855+2.18)*G1855,((1.05*30+2.18)+0.87*(F1855-30))*G1855)</f>
        <v>4.0402740000000001</v>
      </c>
      <c r="I1855" s="380">
        <v>0</v>
      </c>
      <c r="J1855" s="631"/>
      <c r="K1855" s="593">
        <f t="shared" si="449"/>
        <v>0</v>
      </c>
      <c r="L1855" s="594"/>
      <c r="M1855" s="600"/>
      <c r="N1855" s="600">
        <v>0</v>
      </c>
      <c r="O1855" s="287">
        <f t="shared" si="429"/>
        <v>0</v>
      </c>
      <c r="P1855" s="287">
        <f t="shared" si="430"/>
        <v>0</v>
      </c>
      <c r="Q1855" s="288"/>
      <c r="R1855" s="311" t="str">
        <f>IF(P141&gt;0,"xy","")</f>
        <v/>
      </c>
      <c r="S1855" s="378" t="str">
        <f t="shared" si="462"/>
        <v/>
      </c>
    </row>
    <row r="1856" spans="2:19" hidden="1" x14ac:dyDescent="0.2">
      <c r="B1856" s="730" t="s">
        <v>168</v>
      </c>
      <c r="C1856" s="300"/>
      <c r="D1856" s="383" t="s">
        <v>349</v>
      </c>
      <c r="E1856" s="704"/>
      <c r="F1856" s="661">
        <v>20</v>
      </c>
      <c r="G1856" s="665">
        <v>0.06</v>
      </c>
      <c r="H1856" s="663">
        <f t="shared" si="463"/>
        <v>1.3908</v>
      </c>
      <c r="I1856" s="380">
        <v>0</v>
      </c>
      <c r="J1856" s="631"/>
      <c r="K1856" s="593">
        <f t="shared" si="449"/>
        <v>0</v>
      </c>
      <c r="L1856" s="594"/>
      <c r="M1856" s="600"/>
      <c r="N1856" s="600">
        <v>0</v>
      </c>
      <c r="O1856" s="287">
        <f t="shared" si="429"/>
        <v>0</v>
      </c>
      <c r="P1856" s="287">
        <f t="shared" si="430"/>
        <v>0</v>
      </c>
      <c r="Q1856" s="288"/>
      <c r="R1856" s="243"/>
      <c r="S1856" s="378" t="str">
        <f t="shared" si="462"/>
        <v/>
      </c>
    </row>
    <row r="1857" spans="2:19" hidden="1" x14ac:dyDescent="0.2">
      <c r="B1857" s="730" t="s">
        <v>1853</v>
      </c>
      <c r="C1857" s="300" t="s">
        <v>207</v>
      </c>
      <c r="D1857" s="383" t="s">
        <v>769</v>
      </c>
      <c r="E1857" s="704"/>
      <c r="F1857" s="661"/>
      <c r="G1857" s="665"/>
      <c r="H1857" s="664">
        <f>SUM(H1858:H1860)</f>
        <v>63.546752000000012</v>
      </c>
      <c r="I1857" s="380">
        <v>534.54499999999996</v>
      </c>
      <c r="J1857" s="631">
        <f>IF(ISBLANK(I1857),"",SUM(H1857:I1857))</f>
        <v>598.09175199999993</v>
      </c>
      <c r="K1857" s="593">
        <f t="shared" si="449"/>
        <v>758.08</v>
      </c>
      <c r="L1857" s="594" t="s">
        <v>21</v>
      </c>
      <c r="M1857" s="30"/>
      <c r="N1857" s="30">
        <v>758.08</v>
      </c>
      <c r="O1857" s="287">
        <f t="shared" si="429"/>
        <v>0</v>
      </c>
      <c r="P1857" s="287">
        <f t="shared" si="430"/>
        <v>0</v>
      </c>
      <c r="Q1857" s="288"/>
      <c r="R1857" s="311" t="str">
        <f>IF(P141&gt;0,"xy","")</f>
        <v/>
      </c>
      <c r="S1857" s="378" t="str">
        <f t="shared" si="462"/>
        <v/>
      </c>
    </row>
    <row r="1858" spans="2:19" hidden="1" x14ac:dyDescent="0.2">
      <c r="B1858" s="730" t="s">
        <v>168</v>
      </c>
      <c r="C1858" s="300"/>
      <c r="D1858" s="383" t="s">
        <v>213</v>
      </c>
      <c r="E1858" s="704"/>
      <c r="F1858" s="661">
        <v>500</v>
      </c>
      <c r="G1858" s="665">
        <v>6.3600000000000004E-2</v>
      </c>
      <c r="H1858" s="664">
        <f>IF(F1858&lt;=30,(0.75*F1858+6.29)*G1858,((0.75*30+6.29)+0.62*(F1858-30))*G1858)</f>
        <v>20.364084000000002</v>
      </c>
      <c r="I1858" s="380">
        <v>0</v>
      </c>
      <c r="J1858" s="631"/>
      <c r="K1858" s="593">
        <f t="shared" si="449"/>
        <v>0</v>
      </c>
      <c r="L1858" s="594"/>
      <c r="M1858" s="600"/>
      <c r="N1858" s="600">
        <v>0</v>
      </c>
      <c r="O1858" s="287">
        <f t="shared" si="429"/>
        <v>0</v>
      </c>
      <c r="P1858" s="287">
        <f t="shared" si="430"/>
        <v>0</v>
      </c>
      <c r="Q1858" s="288"/>
      <c r="R1858" s="311" t="str">
        <f>IF(P141&gt;0,"xy","")</f>
        <v/>
      </c>
      <c r="S1858" s="378" t="str">
        <f t="shared" si="462"/>
        <v/>
      </c>
    </row>
    <row r="1859" spans="2:19" hidden="1" x14ac:dyDescent="0.2">
      <c r="B1859" s="730" t="s">
        <v>168</v>
      </c>
      <c r="C1859" s="300"/>
      <c r="D1859" s="383" t="s">
        <v>249</v>
      </c>
      <c r="E1859" s="704"/>
      <c r="F1859" s="661">
        <v>180</v>
      </c>
      <c r="G1859" s="665">
        <v>0.2261</v>
      </c>
      <c r="H1859" s="663">
        <f t="shared" ref="H1859" si="464">IF(F1859&lt;=30,(1.05*F1859+2.18)*G1859,((1.05*30+2.18)+0.87*(F1859-30))*G1859)</f>
        <v>37.121098000000003</v>
      </c>
      <c r="I1859" s="380">
        <v>0</v>
      </c>
      <c r="J1859" s="631"/>
      <c r="K1859" s="593">
        <f t="shared" si="449"/>
        <v>0</v>
      </c>
      <c r="L1859" s="594"/>
      <c r="M1859" s="600"/>
      <c r="N1859" s="600">
        <v>0</v>
      </c>
      <c r="O1859" s="287">
        <f t="shared" si="429"/>
        <v>0</v>
      </c>
      <c r="P1859" s="287">
        <f t="shared" si="430"/>
        <v>0</v>
      </c>
      <c r="Q1859" s="288"/>
      <c r="R1859" s="311" t="str">
        <f>IF(P141&gt;0,"xy","")</f>
        <v/>
      </c>
      <c r="S1859" s="378" t="str">
        <f t="shared" si="462"/>
        <v/>
      </c>
    </row>
    <row r="1860" spans="2:19" hidden="1" x14ac:dyDescent="0.2">
      <c r="B1860" s="730" t="s">
        <v>168</v>
      </c>
      <c r="C1860" s="300"/>
      <c r="D1860" s="383" t="s">
        <v>253</v>
      </c>
      <c r="E1860" s="704"/>
      <c r="F1860" s="661">
        <v>20</v>
      </c>
      <c r="G1860" s="665">
        <v>0.26150000000000001</v>
      </c>
      <c r="H1860" s="663">
        <f>IF(F1860&lt;=30,(1.05*F1860+2.18)*G1860,((1.05*30+2.18)+0.87*(F1860-30))*G1860)</f>
        <v>6.0615700000000006</v>
      </c>
      <c r="I1860" s="380">
        <v>0</v>
      </c>
      <c r="J1860" s="631"/>
      <c r="K1860" s="593">
        <f t="shared" si="449"/>
        <v>0</v>
      </c>
      <c r="L1860" s="594"/>
      <c r="M1860" s="600"/>
      <c r="N1860" s="600">
        <v>0</v>
      </c>
      <c r="O1860" s="287">
        <f t="shared" si="429"/>
        <v>0</v>
      </c>
      <c r="P1860" s="287">
        <f t="shared" si="430"/>
        <v>0</v>
      </c>
      <c r="Q1860" s="288"/>
      <c r="R1860" s="243"/>
      <c r="S1860" s="378" t="str">
        <f t="shared" si="462"/>
        <v/>
      </c>
    </row>
    <row r="1861" spans="2:19" hidden="1" x14ac:dyDescent="0.2">
      <c r="B1861" s="730" t="s">
        <v>1854</v>
      </c>
      <c r="C1861" s="300" t="s">
        <v>207</v>
      </c>
      <c r="D1861" s="383" t="s">
        <v>356</v>
      </c>
      <c r="E1861" s="704"/>
      <c r="F1861" s="661"/>
      <c r="G1861" s="665"/>
      <c r="H1861" s="664">
        <f>SUM(H1862:H1864)</f>
        <v>121.72154399999999</v>
      </c>
      <c r="I1861" s="380">
        <v>959.37</v>
      </c>
      <c r="J1861" s="631">
        <f t="shared" ref="J1861:J1865" si="465">IF(ISBLANK(I1861),"",SUM(H1861:I1861))</f>
        <v>1081.0915439999999</v>
      </c>
      <c r="K1861" s="593">
        <f t="shared" si="449"/>
        <v>1370.28</v>
      </c>
      <c r="L1861" s="594" t="s">
        <v>21</v>
      </c>
      <c r="M1861" s="30"/>
      <c r="N1861" s="30">
        <v>1370.28</v>
      </c>
      <c r="O1861" s="287">
        <f t="shared" si="429"/>
        <v>0</v>
      </c>
      <c r="P1861" s="287">
        <f t="shared" si="430"/>
        <v>0</v>
      </c>
      <c r="Q1861" s="288"/>
      <c r="R1861" s="311" t="str">
        <f>IF(P141&gt;0,"xy","")</f>
        <v/>
      </c>
      <c r="S1861" s="378" t="str">
        <f t="shared" si="462"/>
        <v/>
      </c>
    </row>
    <row r="1862" spans="2:19" hidden="1" x14ac:dyDescent="0.2">
      <c r="B1862" s="730" t="s">
        <v>168</v>
      </c>
      <c r="C1862" s="300"/>
      <c r="D1862" s="383" t="s">
        <v>213</v>
      </c>
      <c r="E1862" s="704"/>
      <c r="F1862" s="661">
        <v>500</v>
      </c>
      <c r="G1862" s="665">
        <v>0.1154</v>
      </c>
      <c r="H1862" s="664">
        <f>IF(F1862&lt;=30,(0.75*F1862+6.29)*G1862,((0.75*30+6.29)+0.62*(F1862-30))*G1862)</f>
        <v>36.949925999999998</v>
      </c>
      <c r="I1862" s="380">
        <v>0</v>
      </c>
      <c r="J1862" s="631"/>
      <c r="K1862" s="593">
        <f t="shared" si="449"/>
        <v>0</v>
      </c>
      <c r="L1862" s="594"/>
      <c r="M1862" s="600"/>
      <c r="N1862" s="600">
        <v>0</v>
      </c>
      <c r="O1862" s="287">
        <f t="shared" si="429"/>
        <v>0</v>
      </c>
      <c r="P1862" s="287">
        <f t="shared" si="430"/>
        <v>0</v>
      </c>
      <c r="Q1862" s="288"/>
      <c r="R1862" s="311" t="str">
        <f>IF(P141&gt;0,"xy","")</f>
        <v/>
      </c>
      <c r="S1862" s="378" t="str">
        <f t="shared" si="462"/>
        <v/>
      </c>
    </row>
    <row r="1863" spans="2:19" hidden="1" x14ac:dyDescent="0.2">
      <c r="B1863" s="730" t="s">
        <v>168</v>
      </c>
      <c r="C1863" s="300"/>
      <c r="D1863" s="383" t="s">
        <v>249</v>
      </c>
      <c r="E1863" s="704"/>
      <c r="F1863" s="661">
        <v>180</v>
      </c>
      <c r="G1863" s="665">
        <v>0.41049999999999998</v>
      </c>
      <c r="H1863" s="663">
        <f t="shared" ref="H1863" si="466">IF(F1863&lt;=30,(1.05*F1863+2.18)*G1863,((1.05*30+2.18)+0.87*(F1863-30))*G1863)</f>
        <v>67.395889999999994</v>
      </c>
      <c r="I1863" s="380">
        <v>0</v>
      </c>
      <c r="J1863" s="631"/>
      <c r="K1863" s="593">
        <f t="shared" si="449"/>
        <v>0</v>
      </c>
      <c r="L1863" s="594"/>
      <c r="M1863" s="600"/>
      <c r="N1863" s="600">
        <v>0</v>
      </c>
      <c r="O1863" s="287">
        <f t="shared" si="429"/>
        <v>0</v>
      </c>
      <c r="P1863" s="287">
        <f t="shared" si="430"/>
        <v>0</v>
      </c>
      <c r="Q1863" s="288"/>
      <c r="R1863" s="311" t="str">
        <f>IF(P141&gt;0,"xy","")</f>
        <v/>
      </c>
      <c r="S1863" s="378" t="str">
        <f t="shared" si="462"/>
        <v/>
      </c>
    </row>
    <row r="1864" spans="2:19" hidden="1" x14ac:dyDescent="0.2">
      <c r="B1864" s="730" t="s">
        <v>168</v>
      </c>
      <c r="C1864" s="300"/>
      <c r="D1864" s="383" t="s">
        <v>253</v>
      </c>
      <c r="E1864" s="704"/>
      <c r="F1864" s="661">
        <v>20</v>
      </c>
      <c r="G1864" s="665">
        <v>0.74960000000000004</v>
      </c>
      <c r="H1864" s="663">
        <f>IF(F1864&lt;=30,(1.05*F1864+2.18)*G1864,((1.05*30+2.18)+0.87*(F1864-30))*G1864)</f>
        <v>17.375728000000002</v>
      </c>
      <c r="I1864" s="380">
        <v>0</v>
      </c>
      <c r="J1864" s="631"/>
      <c r="K1864" s="593">
        <f t="shared" si="449"/>
        <v>0</v>
      </c>
      <c r="L1864" s="594"/>
      <c r="M1864" s="600"/>
      <c r="N1864" s="600">
        <v>0</v>
      </c>
      <c r="O1864" s="287">
        <f t="shared" si="429"/>
        <v>0</v>
      </c>
      <c r="P1864" s="287">
        <f t="shared" si="430"/>
        <v>0</v>
      </c>
      <c r="Q1864" s="288"/>
      <c r="R1864" s="243"/>
      <c r="S1864" s="378" t="str">
        <f t="shared" si="462"/>
        <v/>
      </c>
    </row>
    <row r="1865" spans="2:19" hidden="1" x14ac:dyDescent="0.2">
      <c r="B1865" s="730" t="s">
        <v>1855</v>
      </c>
      <c r="C1865" s="300" t="s">
        <v>207</v>
      </c>
      <c r="D1865" s="383" t="s">
        <v>770</v>
      </c>
      <c r="E1865" s="704"/>
      <c r="F1865" s="661"/>
      <c r="G1865" s="665"/>
      <c r="H1865" s="664">
        <f>SUM(H1866:H1868)</f>
        <v>165.16639200000003</v>
      </c>
      <c r="I1865" s="380">
        <v>1192.95</v>
      </c>
      <c r="J1865" s="631">
        <f t="shared" si="465"/>
        <v>1358.1163920000001</v>
      </c>
      <c r="K1865" s="593">
        <f t="shared" si="449"/>
        <v>1721.41</v>
      </c>
      <c r="L1865" s="594" t="s">
        <v>21</v>
      </c>
      <c r="M1865" s="30"/>
      <c r="N1865" s="30">
        <v>1721.41</v>
      </c>
      <c r="O1865" s="287">
        <f t="shared" si="429"/>
        <v>0</v>
      </c>
      <c r="P1865" s="287">
        <f t="shared" si="430"/>
        <v>0</v>
      </c>
      <c r="Q1865" s="288"/>
      <c r="R1865" s="311" t="str">
        <f>IF(P141&gt;0,"xy","")</f>
        <v/>
      </c>
      <c r="S1865" s="378" t="str">
        <f t="shared" si="462"/>
        <v/>
      </c>
    </row>
    <row r="1866" spans="2:19" hidden="1" x14ac:dyDescent="0.2">
      <c r="B1866" s="730" t="s">
        <v>168</v>
      </c>
      <c r="C1866" s="300"/>
      <c r="D1866" s="383" t="s">
        <v>213</v>
      </c>
      <c r="E1866" s="704"/>
      <c r="F1866" s="661">
        <v>500</v>
      </c>
      <c r="G1866" s="665">
        <v>0.15659999999999999</v>
      </c>
      <c r="H1866" s="664">
        <f>IF(F1866&lt;=30,(0.75*F1866+6.29)*G1866,((0.75*30+6.29)+0.62*(F1866-30))*G1866)</f>
        <v>50.141753999999999</v>
      </c>
      <c r="I1866" s="380">
        <v>0</v>
      </c>
      <c r="J1866" s="631"/>
      <c r="K1866" s="593">
        <f t="shared" si="449"/>
        <v>0</v>
      </c>
      <c r="L1866" s="594"/>
      <c r="M1866" s="600"/>
      <c r="N1866" s="600">
        <v>0</v>
      </c>
      <c r="O1866" s="287">
        <f t="shared" si="429"/>
        <v>0</v>
      </c>
      <c r="P1866" s="287">
        <f t="shared" si="430"/>
        <v>0</v>
      </c>
      <c r="Q1866" s="288"/>
      <c r="R1866" s="311" t="str">
        <f>IF(P141&gt;0,"xy","")</f>
        <v/>
      </c>
      <c r="S1866" s="378" t="str">
        <f t="shared" si="462"/>
        <v/>
      </c>
    </row>
    <row r="1867" spans="2:19" hidden="1" x14ac:dyDescent="0.2">
      <c r="B1867" s="730" t="s">
        <v>168</v>
      </c>
      <c r="C1867" s="300"/>
      <c r="D1867" s="383" t="s">
        <v>249</v>
      </c>
      <c r="E1867" s="704"/>
      <c r="F1867" s="661">
        <v>180</v>
      </c>
      <c r="G1867" s="665">
        <v>0.55700000000000005</v>
      </c>
      <c r="H1867" s="663">
        <f t="shared" ref="H1867" si="467">IF(F1867&lt;=30,(1.05*F1867+2.18)*G1867,((1.05*30+2.18)+0.87*(F1867-30))*G1867)</f>
        <v>91.448260000000019</v>
      </c>
      <c r="I1867" s="380">
        <v>0</v>
      </c>
      <c r="J1867" s="631"/>
      <c r="K1867" s="593">
        <f t="shared" si="449"/>
        <v>0</v>
      </c>
      <c r="L1867" s="594"/>
      <c r="M1867" s="600"/>
      <c r="N1867" s="600">
        <v>0</v>
      </c>
      <c r="O1867" s="287">
        <f t="shared" si="429"/>
        <v>0</v>
      </c>
      <c r="P1867" s="287">
        <f t="shared" si="430"/>
        <v>0</v>
      </c>
      <c r="Q1867" s="288"/>
      <c r="R1867" s="311" t="str">
        <f>IF(P141&gt;0,"xy","")</f>
        <v/>
      </c>
      <c r="S1867" s="378" t="str">
        <f t="shared" si="462"/>
        <v/>
      </c>
    </row>
    <row r="1868" spans="2:19" hidden="1" x14ac:dyDescent="0.2">
      <c r="B1868" s="730" t="s">
        <v>168</v>
      </c>
      <c r="C1868" s="300"/>
      <c r="D1868" s="383" t="s">
        <v>253</v>
      </c>
      <c r="E1868" s="704"/>
      <c r="F1868" s="661">
        <v>20</v>
      </c>
      <c r="G1868" s="665">
        <v>1.0170999999999999</v>
      </c>
      <c r="H1868" s="663">
        <f>IF(F1868&lt;=30,(1.05*F1868+2.18)*G1868,((1.05*30+2.18)+0.87*(F1868-30))*G1868)</f>
        <v>23.576377999999998</v>
      </c>
      <c r="I1868" s="380">
        <v>0</v>
      </c>
      <c r="J1868" s="631"/>
      <c r="K1868" s="593">
        <f t="shared" si="449"/>
        <v>0</v>
      </c>
      <c r="L1868" s="594"/>
      <c r="M1868" s="600"/>
      <c r="N1868" s="600">
        <v>0</v>
      </c>
      <c r="O1868" s="287">
        <f t="shared" si="429"/>
        <v>0</v>
      </c>
      <c r="P1868" s="287">
        <f t="shared" si="430"/>
        <v>0</v>
      </c>
      <c r="Q1868" s="288"/>
      <c r="R1868" s="243"/>
      <c r="S1868" s="378" t="str">
        <f t="shared" si="462"/>
        <v/>
      </c>
    </row>
    <row r="1869" spans="2:19" hidden="1" x14ac:dyDescent="0.2">
      <c r="B1869" s="730" t="s">
        <v>1856</v>
      </c>
      <c r="C1869" s="300" t="s">
        <v>207</v>
      </c>
      <c r="D1869" s="383" t="s">
        <v>357</v>
      </c>
      <c r="E1869" s="704"/>
      <c r="F1869" s="661"/>
      <c r="G1869" s="665"/>
      <c r="H1869" s="664">
        <f>SUM(H1870:H1872)</f>
        <v>208.61124000000001</v>
      </c>
      <c r="I1869" s="380">
        <v>1426.53</v>
      </c>
      <c r="J1869" s="631">
        <f t="shared" ref="J1869" si="468">IF(ISBLANK(I1869),"",SUM(H1869:I1869))</f>
        <v>1635.1412399999999</v>
      </c>
      <c r="K1869" s="593">
        <f t="shared" si="449"/>
        <v>2072.54</v>
      </c>
      <c r="L1869" s="594" t="s">
        <v>21</v>
      </c>
      <c r="M1869" s="30"/>
      <c r="N1869" s="30">
        <v>2072.54</v>
      </c>
      <c r="O1869" s="287">
        <f t="shared" si="429"/>
        <v>0</v>
      </c>
      <c r="P1869" s="287">
        <f t="shared" si="430"/>
        <v>0</v>
      </c>
      <c r="Q1869" s="288"/>
      <c r="R1869" s="311" t="str">
        <f>IF(P141&gt;0,"xy","")</f>
        <v/>
      </c>
      <c r="S1869" s="378" t="str">
        <f t="shared" si="462"/>
        <v/>
      </c>
    </row>
    <row r="1870" spans="2:19" hidden="1" x14ac:dyDescent="0.2">
      <c r="B1870" s="730" t="s">
        <v>168</v>
      </c>
      <c r="C1870" s="300"/>
      <c r="D1870" s="383" t="s">
        <v>213</v>
      </c>
      <c r="E1870" s="704"/>
      <c r="F1870" s="661">
        <v>500</v>
      </c>
      <c r="G1870" s="665">
        <v>0.1978</v>
      </c>
      <c r="H1870" s="664">
        <f>IF(F1870&lt;=30,(0.75*F1870+6.29)*G1870,((0.75*30+6.29)+0.62*(F1870-30))*G1870)</f>
        <v>63.333582</v>
      </c>
      <c r="I1870" s="380">
        <v>0</v>
      </c>
      <c r="J1870" s="631"/>
      <c r="K1870" s="593">
        <f t="shared" si="449"/>
        <v>0</v>
      </c>
      <c r="L1870" s="594"/>
      <c r="M1870" s="600"/>
      <c r="N1870" s="600">
        <v>0</v>
      </c>
      <c r="O1870" s="287">
        <f t="shared" si="429"/>
        <v>0</v>
      </c>
      <c r="P1870" s="287">
        <f t="shared" si="430"/>
        <v>0</v>
      </c>
      <c r="Q1870" s="288"/>
      <c r="R1870" s="311" t="str">
        <f>IF(P141&gt;0,"xy","")</f>
        <v/>
      </c>
      <c r="S1870" s="378" t="str">
        <f t="shared" si="462"/>
        <v/>
      </c>
    </row>
    <row r="1871" spans="2:19" hidden="1" x14ac:dyDescent="0.2">
      <c r="B1871" s="730" t="s">
        <v>168</v>
      </c>
      <c r="C1871" s="300"/>
      <c r="D1871" s="383" t="s">
        <v>249</v>
      </c>
      <c r="E1871" s="704"/>
      <c r="F1871" s="661">
        <v>180</v>
      </c>
      <c r="G1871" s="665">
        <v>0.70350000000000001</v>
      </c>
      <c r="H1871" s="663">
        <f t="shared" ref="H1871" si="469">IF(F1871&lt;=30,(1.05*F1871+2.18)*G1871,((1.05*30+2.18)+0.87*(F1871-30))*G1871)</f>
        <v>115.50063</v>
      </c>
      <c r="I1871" s="380">
        <v>0</v>
      </c>
      <c r="J1871" s="631"/>
      <c r="K1871" s="593">
        <f t="shared" si="449"/>
        <v>0</v>
      </c>
      <c r="L1871" s="594"/>
      <c r="M1871" s="600"/>
      <c r="N1871" s="600">
        <v>0</v>
      </c>
      <c r="O1871" s="287">
        <f t="shared" si="429"/>
        <v>0</v>
      </c>
      <c r="P1871" s="287">
        <f t="shared" si="430"/>
        <v>0</v>
      </c>
      <c r="Q1871" s="288"/>
      <c r="R1871" s="311" t="str">
        <f>IF(P141&gt;0,"xy","")</f>
        <v/>
      </c>
      <c r="S1871" s="378" t="str">
        <f t="shared" si="462"/>
        <v/>
      </c>
    </row>
    <row r="1872" spans="2:19" hidden="1" x14ac:dyDescent="0.2">
      <c r="B1872" s="730" t="s">
        <v>168</v>
      </c>
      <c r="C1872" s="300"/>
      <c r="D1872" s="383" t="s">
        <v>253</v>
      </c>
      <c r="E1872" s="704"/>
      <c r="F1872" s="661">
        <v>20</v>
      </c>
      <c r="G1872" s="665">
        <v>1.2846</v>
      </c>
      <c r="H1872" s="663">
        <f>IF(F1872&lt;=30,(1.05*F1872+2.18)*G1872,((1.05*30+2.18)+0.87*(F1872-30))*G1872)</f>
        <v>29.777027999999998</v>
      </c>
      <c r="I1872" s="380">
        <v>0</v>
      </c>
      <c r="J1872" s="631"/>
      <c r="K1872" s="593">
        <f t="shared" ref="K1872:K1911" si="470">IF(ISBLANK(I1872),0,ROUND(J1872*(1+$F$10)*(1+$F$11*E1872),2))</f>
        <v>0</v>
      </c>
      <c r="L1872" s="594"/>
      <c r="M1872" s="600"/>
      <c r="N1872" s="600">
        <v>0</v>
      </c>
      <c r="O1872" s="287">
        <f t="shared" ref="O1872:O1911" si="471">IF(ISBLANK(M1872),0,ROUND(K1872*M1872,2))</f>
        <v>0</v>
      </c>
      <c r="P1872" s="287">
        <f t="shared" ref="P1872:P1911" si="472">IF(ISBLANK(N1872),0,ROUND(M1872*N1872,2))</f>
        <v>0</v>
      </c>
      <c r="Q1872" s="288"/>
      <c r="R1872" s="243"/>
      <c r="S1872" s="378" t="str">
        <f t="shared" si="462"/>
        <v/>
      </c>
    </row>
    <row r="1873" spans="2:19" hidden="1" x14ac:dyDescent="0.2">
      <c r="B1873" s="730" t="s">
        <v>1857</v>
      </c>
      <c r="C1873" s="300" t="s">
        <v>207</v>
      </c>
      <c r="D1873" s="383" t="s">
        <v>771</v>
      </c>
      <c r="E1873" s="704"/>
      <c r="F1873" s="661"/>
      <c r="G1873" s="665"/>
      <c r="H1873" s="664">
        <f>SUM(H1874:H1876)</f>
        <v>232.40042800000003</v>
      </c>
      <c r="I1873" s="380">
        <v>1713.04</v>
      </c>
      <c r="J1873" s="631">
        <f t="shared" ref="J1873" si="473">IF(ISBLANK(I1873),"",SUM(H1873:I1873))</f>
        <v>1945.4404279999999</v>
      </c>
      <c r="K1873" s="593">
        <f t="shared" si="470"/>
        <v>2465.85</v>
      </c>
      <c r="L1873" s="594" t="s">
        <v>21</v>
      </c>
      <c r="M1873" s="30"/>
      <c r="N1873" s="30">
        <v>2465.85</v>
      </c>
      <c r="O1873" s="287">
        <f t="shared" si="471"/>
        <v>0</v>
      </c>
      <c r="P1873" s="287">
        <f t="shared" si="472"/>
        <v>0</v>
      </c>
      <c r="Q1873" s="288"/>
      <c r="R1873" s="311" t="str">
        <f>IF(P145&gt;0,"xy","")</f>
        <v/>
      </c>
      <c r="S1873" s="378" t="str">
        <f t="shared" si="462"/>
        <v/>
      </c>
    </row>
    <row r="1874" spans="2:19" hidden="1" x14ac:dyDescent="0.2">
      <c r="B1874" s="730" t="s">
        <v>168</v>
      </c>
      <c r="C1874" s="300"/>
      <c r="D1874" s="383" t="s">
        <v>213</v>
      </c>
      <c r="E1874" s="704"/>
      <c r="F1874" s="661">
        <v>500</v>
      </c>
      <c r="G1874" s="665">
        <v>0.2424</v>
      </c>
      <c r="H1874" s="664">
        <f>IF(F1874&lt;=30,(0.75*F1874+6.29)*G1874,((0.75*30+6.29)+0.62*(F1874-30))*G1874)</f>
        <v>77.614056000000005</v>
      </c>
      <c r="I1874" s="380">
        <v>0</v>
      </c>
      <c r="J1874" s="631"/>
      <c r="K1874" s="593">
        <f t="shared" si="470"/>
        <v>0</v>
      </c>
      <c r="L1874" s="594"/>
      <c r="M1874" s="600"/>
      <c r="N1874" s="600">
        <v>0</v>
      </c>
      <c r="O1874" s="287">
        <f t="shared" si="471"/>
        <v>0</v>
      </c>
      <c r="P1874" s="287">
        <f t="shared" si="472"/>
        <v>0</v>
      </c>
      <c r="Q1874" s="288"/>
      <c r="R1874" s="311" t="str">
        <f>IF(P145&gt;0,"xy","")</f>
        <v/>
      </c>
      <c r="S1874" s="378" t="str">
        <f t="shared" si="462"/>
        <v/>
      </c>
    </row>
    <row r="1875" spans="2:19" hidden="1" x14ac:dyDescent="0.2">
      <c r="B1875" s="730" t="s">
        <v>168</v>
      </c>
      <c r="C1875" s="300"/>
      <c r="D1875" s="383" t="s">
        <v>249</v>
      </c>
      <c r="E1875" s="704"/>
      <c r="F1875" s="661">
        <v>180</v>
      </c>
      <c r="G1875" s="665">
        <v>0.86180000000000001</v>
      </c>
      <c r="H1875" s="663">
        <f t="shared" ref="H1875" si="474">IF(F1875&lt;=30,(1.05*F1875+2.18)*G1875,((1.05*30+2.18)+0.87*(F1875-30))*G1875)</f>
        <v>141.49032400000002</v>
      </c>
      <c r="I1875" s="380">
        <v>0</v>
      </c>
      <c r="J1875" s="631"/>
      <c r="K1875" s="593">
        <f t="shared" si="470"/>
        <v>0</v>
      </c>
      <c r="L1875" s="594"/>
      <c r="M1875" s="600"/>
      <c r="N1875" s="600">
        <v>0</v>
      </c>
      <c r="O1875" s="287">
        <f t="shared" si="471"/>
        <v>0</v>
      </c>
      <c r="P1875" s="287">
        <f t="shared" si="472"/>
        <v>0</v>
      </c>
      <c r="Q1875" s="288"/>
      <c r="R1875" s="311" t="str">
        <f>IF(P145&gt;0,"xy","")</f>
        <v/>
      </c>
      <c r="S1875" s="378" t="str">
        <f t="shared" si="462"/>
        <v/>
      </c>
    </row>
    <row r="1876" spans="2:19" hidden="1" x14ac:dyDescent="0.2">
      <c r="B1876" s="730" t="s">
        <v>168</v>
      </c>
      <c r="C1876" s="300"/>
      <c r="D1876" s="383" t="s">
        <v>253</v>
      </c>
      <c r="E1876" s="704"/>
      <c r="F1876" s="661">
        <v>20</v>
      </c>
      <c r="G1876" s="665">
        <v>0.5736</v>
      </c>
      <c r="H1876" s="663">
        <f>IF(F1876&lt;=30,(1.05*F1876+2.18)*G1876,((1.05*30+2.18)+0.87*(F1876-30))*G1876)</f>
        <v>13.296047999999999</v>
      </c>
      <c r="I1876" s="380">
        <v>0</v>
      </c>
      <c r="J1876" s="631"/>
      <c r="K1876" s="593">
        <f t="shared" si="470"/>
        <v>0</v>
      </c>
      <c r="L1876" s="594"/>
      <c r="M1876" s="600"/>
      <c r="N1876" s="600">
        <v>0</v>
      </c>
      <c r="O1876" s="287">
        <f t="shared" si="471"/>
        <v>0</v>
      </c>
      <c r="P1876" s="287">
        <f t="shared" si="472"/>
        <v>0</v>
      </c>
      <c r="Q1876" s="288"/>
      <c r="R1876" s="243"/>
      <c r="S1876" s="378" t="str">
        <f t="shared" si="462"/>
        <v/>
      </c>
    </row>
    <row r="1877" spans="2:19" hidden="1" x14ac:dyDescent="0.2">
      <c r="B1877" s="730" t="s">
        <v>1860</v>
      </c>
      <c r="C1877" s="300" t="s">
        <v>207</v>
      </c>
      <c r="D1877" s="383" t="s">
        <v>358</v>
      </c>
      <c r="E1877" s="704"/>
      <c r="F1877" s="661"/>
      <c r="G1877" s="665"/>
      <c r="H1877" s="664">
        <f>SUM(H1878:H1880)</f>
        <v>302.49886100000003</v>
      </c>
      <c r="I1877" s="380">
        <v>1999.55</v>
      </c>
      <c r="J1877" s="631">
        <f t="shared" ref="J1877" si="475">IF(ISBLANK(I1877),"",SUM(H1877:I1877))</f>
        <v>2302.0488610000002</v>
      </c>
      <c r="K1877" s="593">
        <f t="shared" si="470"/>
        <v>2917.85</v>
      </c>
      <c r="L1877" s="594" t="s">
        <v>21</v>
      </c>
      <c r="M1877" s="30"/>
      <c r="N1877" s="30">
        <v>2917.85</v>
      </c>
      <c r="O1877" s="287">
        <f t="shared" si="471"/>
        <v>0</v>
      </c>
      <c r="P1877" s="287">
        <f t="shared" si="472"/>
        <v>0</v>
      </c>
      <c r="Q1877" s="288"/>
      <c r="R1877" s="311" t="str">
        <f>IF(P149&gt;0,"xy","")</f>
        <v/>
      </c>
      <c r="S1877" s="378" t="str">
        <f t="shared" si="462"/>
        <v/>
      </c>
    </row>
    <row r="1878" spans="2:19" hidden="1" x14ac:dyDescent="0.2">
      <c r="B1878" s="730" t="s">
        <v>168</v>
      </c>
      <c r="C1878" s="300"/>
      <c r="D1878" s="383" t="s">
        <v>213</v>
      </c>
      <c r="E1878" s="704"/>
      <c r="F1878" s="661">
        <v>500</v>
      </c>
      <c r="G1878" s="665">
        <v>0.28689999999999999</v>
      </c>
      <c r="H1878" s="664">
        <f>IF(F1878&lt;=30,(0.75*F1878+6.29)*G1878,((0.75*30+6.29)+0.62*(F1878-30))*G1878)</f>
        <v>91.862510999999998</v>
      </c>
      <c r="I1878" s="380">
        <v>0</v>
      </c>
      <c r="J1878" s="631"/>
      <c r="K1878" s="593">
        <f t="shared" si="470"/>
        <v>0</v>
      </c>
      <c r="L1878" s="594"/>
      <c r="M1878" s="600"/>
      <c r="N1878" s="600">
        <v>0</v>
      </c>
      <c r="O1878" s="287">
        <f t="shared" si="471"/>
        <v>0</v>
      </c>
      <c r="P1878" s="287">
        <f t="shared" si="472"/>
        <v>0</v>
      </c>
      <c r="Q1878" s="288"/>
      <c r="R1878" s="311" t="str">
        <f>IF(P149&gt;0,"xy","")</f>
        <v/>
      </c>
      <c r="S1878" s="378" t="str">
        <f t="shared" si="462"/>
        <v/>
      </c>
    </row>
    <row r="1879" spans="2:19" hidden="1" x14ac:dyDescent="0.2">
      <c r="B1879" s="730" t="s">
        <v>168</v>
      </c>
      <c r="C1879" s="300"/>
      <c r="D1879" s="383" t="s">
        <v>249</v>
      </c>
      <c r="E1879" s="704"/>
      <c r="F1879" s="661">
        <v>180</v>
      </c>
      <c r="G1879" s="665">
        <v>1.02</v>
      </c>
      <c r="H1879" s="663">
        <f t="shared" ref="H1879" si="476">IF(F1879&lt;=30,(1.05*F1879+2.18)*G1879,((1.05*30+2.18)+0.87*(F1879-30))*G1879)</f>
        <v>167.46360000000001</v>
      </c>
      <c r="I1879" s="380">
        <v>0</v>
      </c>
      <c r="J1879" s="631"/>
      <c r="K1879" s="593">
        <f t="shared" si="470"/>
        <v>0</v>
      </c>
      <c r="L1879" s="594"/>
      <c r="M1879" s="600"/>
      <c r="N1879" s="600">
        <v>0</v>
      </c>
      <c r="O1879" s="287">
        <f t="shared" si="471"/>
        <v>0</v>
      </c>
      <c r="P1879" s="287">
        <f t="shared" si="472"/>
        <v>0</v>
      </c>
      <c r="Q1879" s="288"/>
      <c r="R1879" s="311" t="str">
        <f>IF(P149&gt;0,"xy","")</f>
        <v/>
      </c>
      <c r="S1879" s="378" t="str">
        <f t="shared" si="462"/>
        <v/>
      </c>
    </row>
    <row r="1880" spans="2:19" hidden="1" x14ac:dyDescent="0.2">
      <c r="B1880" s="730" t="s">
        <v>168</v>
      </c>
      <c r="C1880" s="300"/>
      <c r="D1880" s="383" t="s">
        <v>253</v>
      </c>
      <c r="E1880" s="704"/>
      <c r="F1880" s="661">
        <v>20</v>
      </c>
      <c r="G1880" s="665">
        <v>1.8625</v>
      </c>
      <c r="H1880" s="663">
        <f>IF(F1880&lt;=30,(1.05*F1880+2.18)*G1880,((1.05*30+2.18)+0.87*(F1880-30))*G1880)</f>
        <v>43.172750000000001</v>
      </c>
      <c r="I1880" s="380">
        <v>0</v>
      </c>
      <c r="J1880" s="631"/>
      <c r="K1880" s="593">
        <f t="shared" si="470"/>
        <v>0</v>
      </c>
      <c r="L1880" s="594"/>
      <c r="M1880" s="600"/>
      <c r="N1880" s="600">
        <v>0</v>
      </c>
      <c r="O1880" s="287">
        <f t="shared" si="471"/>
        <v>0</v>
      </c>
      <c r="P1880" s="287">
        <f t="shared" si="472"/>
        <v>0</v>
      </c>
      <c r="Q1880" s="288"/>
      <c r="R1880" s="243"/>
      <c r="S1880" s="378" t="str">
        <f t="shared" si="462"/>
        <v/>
      </c>
    </row>
    <row r="1881" spans="2:19" hidden="1" x14ac:dyDescent="0.2">
      <c r="B1881" s="730">
        <v>620300</v>
      </c>
      <c r="C1881" s="300" t="s">
        <v>207</v>
      </c>
      <c r="D1881" s="383" t="s">
        <v>359</v>
      </c>
      <c r="E1881" s="704"/>
      <c r="F1881" s="661"/>
      <c r="G1881" s="665"/>
      <c r="H1881" s="664">
        <f>SUM(H1882:H1884)</f>
        <v>453.958957</v>
      </c>
      <c r="I1881" s="380">
        <v>2809.0899999999997</v>
      </c>
      <c r="J1881" s="631">
        <f t="shared" ref="J1881" si="477">IF(ISBLANK(I1881),"",SUM(H1881:I1881))</f>
        <v>3263.0489569999995</v>
      </c>
      <c r="K1881" s="593">
        <f t="shared" si="470"/>
        <v>4135.91</v>
      </c>
      <c r="L1881" s="594" t="s">
        <v>21</v>
      </c>
      <c r="M1881" s="30"/>
      <c r="N1881" s="30">
        <v>4135.91</v>
      </c>
      <c r="O1881" s="287">
        <f t="shared" si="471"/>
        <v>0</v>
      </c>
      <c r="P1881" s="287">
        <f t="shared" si="472"/>
        <v>0</v>
      </c>
      <c r="Q1881" s="288"/>
      <c r="R1881" s="311" t="str">
        <f>IF(P153&gt;0,"xy","")</f>
        <v/>
      </c>
      <c r="S1881" s="378" t="str">
        <f t="shared" si="462"/>
        <v/>
      </c>
    </row>
    <row r="1882" spans="2:19" hidden="1" x14ac:dyDescent="0.2">
      <c r="B1882" s="730" t="s">
        <v>168</v>
      </c>
      <c r="C1882" s="300"/>
      <c r="D1882" s="383" t="s">
        <v>213</v>
      </c>
      <c r="E1882" s="704"/>
      <c r="F1882" s="661">
        <v>500</v>
      </c>
      <c r="G1882" s="665">
        <v>0.43049999999999999</v>
      </c>
      <c r="H1882" s="664">
        <f>IF(F1882&lt;=30,(0.75*F1882+6.29)*G1882,((0.75*30+6.29)+0.62*(F1882-30))*G1882)</f>
        <v>137.84179499999999</v>
      </c>
      <c r="I1882" s="380">
        <v>0</v>
      </c>
      <c r="J1882" s="631"/>
      <c r="K1882" s="593">
        <f t="shared" si="470"/>
        <v>0</v>
      </c>
      <c r="L1882" s="594"/>
      <c r="M1882" s="600"/>
      <c r="N1882" s="600">
        <v>0</v>
      </c>
      <c r="O1882" s="287">
        <f t="shared" si="471"/>
        <v>0</v>
      </c>
      <c r="P1882" s="287">
        <f t="shared" si="472"/>
        <v>0</v>
      </c>
      <c r="Q1882" s="288"/>
      <c r="R1882" s="311" t="str">
        <f>IF(P153&gt;0,"xy","")</f>
        <v/>
      </c>
      <c r="S1882" s="378" t="str">
        <f t="shared" si="462"/>
        <v/>
      </c>
    </row>
    <row r="1883" spans="2:19" hidden="1" x14ac:dyDescent="0.2">
      <c r="B1883" s="730" t="s">
        <v>168</v>
      </c>
      <c r="C1883" s="300"/>
      <c r="D1883" s="383" t="s">
        <v>249</v>
      </c>
      <c r="E1883" s="704"/>
      <c r="F1883" s="661">
        <v>180</v>
      </c>
      <c r="G1883" s="665">
        <v>1.5307999999999999</v>
      </c>
      <c r="H1883" s="663">
        <f t="shared" ref="H1883" si="478">IF(F1883&lt;=30,(1.05*F1883+2.18)*G1883,((1.05*30+2.18)+0.87*(F1883-30))*G1883)</f>
        <v>251.32674399999999</v>
      </c>
      <c r="I1883" s="380">
        <v>0</v>
      </c>
      <c r="J1883" s="631"/>
      <c r="K1883" s="593">
        <f t="shared" si="470"/>
        <v>0</v>
      </c>
      <c r="L1883" s="594"/>
      <c r="M1883" s="600"/>
      <c r="N1883" s="600">
        <v>0</v>
      </c>
      <c r="O1883" s="287">
        <f t="shared" si="471"/>
        <v>0</v>
      </c>
      <c r="P1883" s="287">
        <f t="shared" si="472"/>
        <v>0</v>
      </c>
      <c r="Q1883" s="288"/>
      <c r="R1883" s="311" t="str">
        <f>IF(P153&gt;0,"xy","")</f>
        <v/>
      </c>
      <c r="S1883" s="378" t="str">
        <f t="shared" si="462"/>
        <v/>
      </c>
    </row>
    <row r="1884" spans="2:19" hidden="1" x14ac:dyDescent="0.2">
      <c r="B1884" s="730" t="s">
        <v>168</v>
      </c>
      <c r="C1884" s="300"/>
      <c r="D1884" s="383" t="s">
        <v>253</v>
      </c>
      <c r="E1884" s="704"/>
      <c r="F1884" s="661">
        <v>20</v>
      </c>
      <c r="G1884" s="665">
        <v>2.7951000000000001</v>
      </c>
      <c r="H1884" s="663">
        <f>IF(F1884&lt;=30,(1.05*F1884+2.18)*G1884,((1.05*30+2.18)+0.87*(F1884-30))*G1884)</f>
        <v>64.790418000000003</v>
      </c>
      <c r="I1884" s="380">
        <v>0</v>
      </c>
      <c r="J1884" s="631"/>
      <c r="K1884" s="593">
        <f t="shared" si="470"/>
        <v>0</v>
      </c>
      <c r="L1884" s="594"/>
      <c r="M1884" s="600"/>
      <c r="N1884" s="600">
        <v>0</v>
      </c>
      <c r="O1884" s="287">
        <f t="shared" si="471"/>
        <v>0</v>
      </c>
      <c r="P1884" s="287">
        <f t="shared" si="472"/>
        <v>0</v>
      </c>
      <c r="Q1884" s="288"/>
      <c r="R1884" s="243"/>
      <c r="S1884" s="378" t="str">
        <f t="shared" si="462"/>
        <v/>
      </c>
    </row>
    <row r="1885" spans="2:19" hidden="1" x14ac:dyDescent="0.2">
      <c r="B1885" s="730">
        <v>620400</v>
      </c>
      <c r="C1885" s="300" t="s">
        <v>207</v>
      </c>
      <c r="D1885" s="383" t="s">
        <v>360</v>
      </c>
      <c r="E1885" s="704"/>
      <c r="F1885" s="661"/>
      <c r="G1885" s="665"/>
      <c r="H1885" s="664">
        <f>SUM(H1886:H1888)</f>
        <v>612.97246300000006</v>
      </c>
      <c r="I1885" s="380">
        <v>3573.81</v>
      </c>
      <c r="J1885" s="631">
        <f t="shared" ref="J1885" si="479">IF(ISBLANK(I1885),"",SUM(H1885:I1885))</f>
        <v>4186.7824629999996</v>
      </c>
      <c r="K1885" s="593">
        <f t="shared" si="470"/>
        <v>5306.75</v>
      </c>
      <c r="L1885" s="594" t="s">
        <v>21</v>
      </c>
      <c r="M1885" s="30"/>
      <c r="N1885" s="30">
        <v>5306.75</v>
      </c>
      <c r="O1885" s="287">
        <f t="shared" si="471"/>
        <v>0</v>
      </c>
      <c r="P1885" s="287">
        <f t="shared" si="472"/>
        <v>0</v>
      </c>
      <c r="Q1885" s="288"/>
      <c r="R1885" s="311" t="str">
        <f>IF(P157&gt;0,"xy","")</f>
        <v/>
      </c>
      <c r="S1885" s="378" t="str">
        <f t="shared" si="462"/>
        <v/>
      </c>
    </row>
    <row r="1886" spans="2:19" hidden="1" x14ac:dyDescent="0.2">
      <c r="B1886" s="730" t="s">
        <v>168</v>
      </c>
      <c r="C1886" s="300"/>
      <c r="D1886" s="383" t="s">
        <v>213</v>
      </c>
      <c r="E1886" s="704"/>
      <c r="F1886" s="661">
        <v>500</v>
      </c>
      <c r="G1886" s="665">
        <v>0.58130000000000004</v>
      </c>
      <c r="H1886" s="664">
        <f>IF(F1886&lt;=30,(0.75*F1886+6.29)*G1886,((0.75*30+6.29)+0.62*(F1886-30))*G1886)</f>
        <v>186.12644700000001</v>
      </c>
      <c r="I1886" s="380">
        <v>0</v>
      </c>
      <c r="J1886" s="631"/>
      <c r="K1886" s="593">
        <f t="shared" si="470"/>
        <v>0</v>
      </c>
      <c r="L1886" s="594"/>
      <c r="M1886" s="600"/>
      <c r="N1886" s="600">
        <v>0</v>
      </c>
      <c r="O1886" s="287">
        <f t="shared" si="471"/>
        <v>0</v>
      </c>
      <c r="P1886" s="287">
        <f t="shared" si="472"/>
        <v>0</v>
      </c>
      <c r="Q1886" s="288"/>
      <c r="R1886" s="311" t="str">
        <f>IF(P157&gt;0,"xy","")</f>
        <v/>
      </c>
      <c r="S1886" s="378" t="str">
        <f t="shared" si="462"/>
        <v/>
      </c>
    </row>
    <row r="1887" spans="2:19" hidden="1" x14ac:dyDescent="0.2">
      <c r="B1887" s="730" t="s">
        <v>168</v>
      </c>
      <c r="C1887" s="300"/>
      <c r="D1887" s="383" t="s">
        <v>249</v>
      </c>
      <c r="E1887" s="704"/>
      <c r="F1887" s="661">
        <v>180</v>
      </c>
      <c r="G1887" s="665">
        <v>2.0670000000000002</v>
      </c>
      <c r="H1887" s="663">
        <f t="shared" ref="H1887" si="480">IF(F1887&lt;=30,(1.05*F1887+2.18)*G1887,((1.05*30+2.18)+0.87*(F1887-30))*G1887)</f>
        <v>339.36006000000003</v>
      </c>
      <c r="I1887" s="380">
        <v>0</v>
      </c>
      <c r="J1887" s="631"/>
      <c r="K1887" s="593">
        <f t="shared" si="470"/>
        <v>0</v>
      </c>
      <c r="L1887" s="594"/>
      <c r="M1887" s="600"/>
      <c r="N1887" s="600">
        <v>0</v>
      </c>
      <c r="O1887" s="287">
        <f t="shared" si="471"/>
        <v>0</v>
      </c>
      <c r="P1887" s="287">
        <f t="shared" si="472"/>
        <v>0</v>
      </c>
      <c r="Q1887" s="288"/>
      <c r="R1887" s="311" t="str">
        <f>IF(P157&gt;0,"xy","")</f>
        <v/>
      </c>
      <c r="S1887" s="378" t="str">
        <f t="shared" si="462"/>
        <v/>
      </c>
    </row>
    <row r="1888" spans="2:19" hidden="1" x14ac:dyDescent="0.2">
      <c r="B1888" s="730" t="s">
        <v>168</v>
      </c>
      <c r="C1888" s="300"/>
      <c r="D1888" s="383" t="s">
        <v>253</v>
      </c>
      <c r="E1888" s="704"/>
      <c r="F1888" s="661">
        <v>20</v>
      </c>
      <c r="G1888" s="665">
        <v>3.7742</v>
      </c>
      <c r="H1888" s="663">
        <f>IF(F1888&lt;=30,(1.05*F1888+2.18)*G1888,((1.05*30+2.18)+0.87*(F1888-30))*G1888)</f>
        <v>87.485956000000002</v>
      </c>
      <c r="I1888" s="380">
        <v>0</v>
      </c>
      <c r="J1888" s="631"/>
      <c r="K1888" s="593">
        <f t="shared" si="470"/>
        <v>0</v>
      </c>
      <c r="L1888" s="594"/>
      <c r="M1888" s="600"/>
      <c r="N1888" s="600">
        <v>0</v>
      </c>
      <c r="O1888" s="287">
        <f t="shared" si="471"/>
        <v>0</v>
      </c>
      <c r="P1888" s="287">
        <f t="shared" si="472"/>
        <v>0</v>
      </c>
      <c r="Q1888" s="288"/>
      <c r="R1888" s="243"/>
      <c r="S1888" s="378" t="str">
        <f t="shared" si="462"/>
        <v/>
      </c>
    </row>
    <row r="1889" spans="2:19" hidden="1" x14ac:dyDescent="0.2">
      <c r="B1889" s="730">
        <v>620500</v>
      </c>
      <c r="C1889" s="300" t="s">
        <v>207</v>
      </c>
      <c r="D1889" s="383" t="s">
        <v>361</v>
      </c>
      <c r="E1889" s="704"/>
      <c r="F1889" s="661"/>
      <c r="G1889" s="665"/>
      <c r="H1889" s="664">
        <f>SUM(H1890:H1892)</f>
        <v>1230.7613259999998</v>
      </c>
      <c r="I1889" s="380">
        <v>6127.0099999999993</v>
      </c>
      <c r="J1889" s="631">
        <f t="shared" ref="J1889" si="481">IF(ISBLANK(I1889),"",SUM(H1889:I1889))</f>
        <v>7357.7713259999991</v>
      </c>
      <c r="K1889" s="593">
        <f t="shared" si="470"/>
        <v>9325.98</v>
      </c>
      <c r="L1889" s="594" t="s">
        <v>21</v>
      </c>
      <c r="M1889" s="30"/>
      <c r="N1889" s="30">
        <v>9325.98</v>
      </c>
      <c r="O1889" s="287">
        <f t="shared" si="471"/>
        <v>0</v>
      </c>
      <c r="P1889" s="287">
        <f t="shared" si="472"/>
        <v>0</v>
      </c>
      <c r="Q1889" s="288"/>
      <c r="R1889" s="311" t="str">
        <f>IF(P161&gt;0,"xy","")</f>
        <v/>
      </c>
      <c r="S1889" s="378" t="str">
        <f t="shared" si="462"/>
        <v/>
      </c>
    </row>
    <row r="1890" spans="2:19" hidden="1" x14ac:dyDescent="0.2">
      <c r="B1890" s="730" t="s">
        <v>168</v>
      </c>
      <c r="C1890" s="300"/>
      <c r="D1890" s="383" t="s">
        <v>213</v>
      </c>
      <c r="E1890" s="704"/>
      <c r="F1890" s="661">
        <v>500</v>
      </c>
      <c r="G1890" s="665">
        <v>1.1672</v>
      </c>
      <c r="H1890" s="664">
        <f>IF(F1890&lt;=30,(0.75*F1890+6.29)*G1890,((0.75*30+6.29)+0.62*(F1890-30))*G1890)</f>
        <v>373.72576800000002</v>
      </c>
      <c r="I1890" s="380">
        <v>0</v>
      </c>
      <c r="J1890" s="631"/>
      <c r="K1890" s="593">
        <f t="shared" si="470"/>
        <v>0</v>
      </c>
      <c r="L1890" s="594"/>
      <c r="M1890" s="600"/>
      <c r="N1890" s="600">
        <v>0</v>
      </c>
      <c r="O1890" s="287">
        <f t="shared" si="471"/>
        <v>0</v>
      </c>
      <c r="P1890" s="287">
        <f t="shared" si="472"/>
        <v>0</v>
      </c>
      <c r="Q1890" s="288"/>
      <c r="R1890" s="311" t="str">
        <f>IF(P161&gt;0,"xy","")</f>
        <v/>
      </c>
      <c r="S1890" s="378" t="str">
        <f t="shared" si="462"/>
        <v/>
      </c>
    </row>
    <row r="1891" spans="2:19" hidden="1" x14ac:dyDescent="0.2">
      <c r="B1891" s="730" t="s">
        <v>168</v>
      </c>
      <c r="C1891" s="300"/>
      <c r="D1891" s="383" t="s">
        <v>249</v>
      </c>
      <c r="E1891" s="704"/>
      <c r="F1891" s="661">
        <v>180</v>
      </c>
      <c r="G1891" s="665">
        <v>4.1501999999999999</v>
      </c>
      <c r="H1891" s="663">
        <f t="shared" ref="H1891" si="482">IF(F1891&lt;=30,(1.05*F1891+2.18)*G1891,((1.05*30+2.18)+0.87*(F1891-30))*G1891)</f>
        <v>681.37983599999995</v>
      </c>
      <c r="I1891" s="380">
        <v>0</v>
      </c>
      <c r="J1891" s="631"/>
      <c r="K1891" s="593">
        <f t="shared" si="470"/>
        <v>0</v>
      </c>
      <c r="L1891" s="594"/>
      <c r="M1891" s="600"/>
      <c r="N1891" s="600">
        <v>0</v>
      </c>
      <c r="O1891" s="287">
        <f t="shared" si="471"/>
        <v>0</v>
      </c>
      <c r="P1891" s="287">
        <f t="shared" si="472"/>
        <v>0</v>
      </c>
      <c r="Q1891" s="288"/>
      <c r="R1891" s="311" t="str">
        <f>IF(P161&gt;0,"xy","")</f>
        <v/>
      </c>
      <c r="S1891" s="378" t="str">
        <f t="shared" si="462"/>
        <v/>
      </c>
    </row>
    <row r="1892" spans="2:19" hidden="1" x14ac:dyDescent="0.2">
      <c r="B1892" s="730" t="s">
        <v>168</v>
      </c>
      <c r="C1892" s="300"/>
      <c r="D1892" s="383" t="s">
        <v>253</v>
      </c>
      <c r="E1892" s="704"/>
      <c r="F1892" s="661">
        <v>20</v>
      </c>
      <c r="G1892" s="665">
        <v>7.5778999999999996</v>
      </c>
      <c r="H1892" s="663">
        <f>IF(F1892&lt;=30,(1.05*F1892+2.18)*G1892,((1.05*30+2.18)+0.87*(F1892-30))*G1892)</f>
        <v>175.655722</v>
      </c>
      <c r="I1892" s="380">
        <v>0</v>
      </c>
      <c r="J1892" s="631"/>
      <c r="K1892" s="593">
        <f t="shared" si="470"/>
        <v>0</v>
      </c>
      <c r="L1892" s="594"/>
      <c r="M1892" s="600"/>
      <c r="N1892" s="600">
        <v>0</v>
      </c>
      <c r="O1892" s="287">
        <f t="shared" si="471"/>
        <v>0</v>
      </c>
      <c r="P1892" s="287">
        <f t="shared" si="472"/>
        <v>0</v>
      </c>
      <c r="Q1892" s="288"/>
      <c r="R1892" s="243"/>
      <c r="S1892" s="378" t="str">
        <f t="shared" si="462"/>
        <v/>
      </c>
    </row>
    <row r="1893" spans="2:19" hidden="1" x14ac:dyDescent="0.2">
      <c r="B1893" s="730">
        <v>620600</v>
      </c>
      <c r="C1893" s="300" t="s">
        <v>207</v>
      </c>
      <c r="D1893" s="383" t="s">
        <v>362</v>
      </c>
      <c r="E1893" s="704"/>
      <c r="F1893" s="661"/>
      <c r="G1893" s="665"/>
      <c r="H1893" s="664">
        <f>SUM(H1894:H1896)</f>
        <v>2366.0894469999998</v>
      </c>
      <c r="I1893" s="380">
        <v>10595.51</v>
      </c>
      <c r="J1893" s="631">
        <f t="shared" ref="J1893" si="483">IF(ISBLANK(I1893),"",SUM(H1893:I1893))</f>
        <v>12961.599447000001</v>
      </c>
      <c r="K1893" s="593">
        <f t="shared" si="470"/>
        <v>16428.830000000002</v>
      </c>
      <c r="L1893" s="594" t="s">
        <v>21</v>
      </c>
      <c r="M1893" s="30"/>
      <c r="N1893" s="30">
        <v>16428.830000000002</v>
      </c>
      <c r="O1893" s="287">
        <f t="shared" si="471"/>
        <v>0</v>
      </c>
      <c r="P1893" s="287">
        <f t="shared" si="472"/>
        <v>0</v>
      </c>
      <c r="Q1893" s="288"/>
      <c r="R1893" s="311" t="str">
        <f>IF(P165&gt;0,"xy","")</f>
        <v/>
      </c>
      <c r="S1893" s="378" t="str">
        <f t="shared" si="462"/>
        <v/>
      </c>
    </row>
    <row r="1894" spans="2:19" hidden="1" x14ac:dyDescent="0.2">
      <c r="B1894" s="730" t="s">
        <v>168</v>
      </c>
      <c r="C1894" s="300"/>
      <c r="D1894" s="383" t="s">
        <v>213</v>
      </c>
      <c r="E1894" s="704"/>
      <c r="F1894" s="661">
        <v>500</v>
      </c>
      <c r="G1894" s="665">
        <v>2.2439</v>
      </c>
      <c r="H1894" s="664">
        <f>IF(F1894&lt;=30,(0.75*F1894+6.29)*G1894,((0.75*30+6.29)+0.62*(F1894-30))*G1894)</f>
        <v>718.47434099999998</v>
      </c>
      <c r="I1894" s="380">
        <v>0</v>
      </c>
      <c r="J1894" s="631"/>
      <c r="K1894" s="593">
        <f t="shared" si="470"/>
        <v>0</v>
      </c>
      <c r="L1894" s="594"/>
      <c r="M1894" s="600"/>
      <c r="N1894" s="600">
        <v>0</v>
      </c>
      <c r="O1894" s="287">
        <f t="shared" si="471"/>
        <v>0</v>
      </c>
      <c r="P1894" s="287">
        <f t="shared" si="472"/>
        <v>0</v>
      </c>
      <c r="Q1894" s="288"/>
      <c r="R1894" s="311" t="str">
        <f>IF(P165&gt;0,"xy","")</f>
        <v/>
      </c>
      <c r="S1894" s="378" t="str">
        <f t="shared" si="462"/>
        <v/>
      </c>
    </row>
    <row r="1895" spans="2:19" hidden="1" x14ac:dyDescent="0.2">
      <c r="B1895" s="730" t="s">
        <v>168</v>
      </c>
      <c r="C1895" s="300"/>
      <c r="D1895" s="383" t="s">
        <v>249</v>
      </c>
      <c r="E1895" s="704"/>
      <c r="F1895" s="661">
        <v>180</v>
      </c>
      <c r="G1895" s="665">
        <v>7.9786000000000001</v>
      </c>
      <c r="H1895" s="663">
        <f t="shared" ref="H1895" si="484">IF(F1895&lt;=30,(1.05*F1895+2.18)*G1895,((1.05*30+2.18)+0.87*(F1895-30))*G1895)</f>
        <v>1309.9265480000001</v>
      </c>
      <c r="I1895" s="380">
        <v>0</v>
      </c>
      <c r="J1895" s="631"/>
      <c r="K1895" s="593">
        <f t="shared" si="470"/>
        <v>0</v>
      </c>
      <c r="L1895" s="594"/>
      <c r="M1895" s="600"/>
      <c r="N1895" s="600">
        <v>0</v>
      </c>
      <c r="O1895" s="287">
        <f t="shared" si="471"/>
        <v>0</v>
      </c>
      <c r="P1895" s="287">
        <f t="shared" si="472"/>
        <v>0</v>
      </c>
      <c r="Q1895" s="288"/>
      <c r="R1895" s="311" t="str">
        <f>IF(P165&gt;0,"xy","")</f>
        <v/>
      </c>
      <c r="S1895" s="378" t="str">
        <f t="shared" si="462"/>
        <v/>
      </c>
    </row>
    <row r="1896" spans="2:19" hidden="1" x14ac:dyDescent="0.2">
      <c r="B1896" s="730" t="s">
        <v>168</v>
      </c>
      <c r="C1896" s="300"/>
      <c r="D1896" s="383" t="s">
        <v>253</v>
      </c>
      <c r="E1896" s="704"/>
      <c r="F1896" s="661">
        <v>20</v>
      </c>
      <c r="G1896" s="665">
        <v>14.568099999999999</v>
      </c>
      <c r="H1896" s="663">
        <f>IF(F1896&lt;=30,(1.05*F1896+2.18)*G1896,((1.05*30+2.18)+0.87*(F1896-30))*G1896)</f>
        <v>337.688558</v>
      </c>
      <c r="I1896" s="380">
        <v>0</v>
      </c>
      <c r="J1896" s="631"/>
      <c r="K1896" s="593">
        <f t="shared" si="470"/>
        <v>0</v>
      </c>
      <c r="L1896" s="594"/>
      <c r="M1896" s="600"/>
      <c r="N1896" s="600">
        <v>0</v>
      </c>
      <c r="O1896" s="287">
        <f t="shared" si="471"/>
        <v>0</v>
      </c>
      <c r="P1896" s="287">
        <f t="shared" si="472"/>
        <v>0</v>
      </c>
      <c r="Q1896" s="288"/>
      <c r="R1896" s="243"/>
      <c r="S1896" s="378" t="str">
        <f t="shared" si="462"/>
        <v/>
      </c>
    </row>
    <row r="1897" spans="2:19" hidden="1" x14ac:dyDescent="0.2">
      <c r="B1897" s="730" t="s">
        <v>1858</v>
      </c>
      <c r="C1897" s="300" t="s">
        <v>207</v>
      </c>
      <c r="D1897" s="383" t="s">
        <v>363</v>
      </c>
      <c r="E1897" s="704"/>
      <c r="F1897" s="661"/>
      <c r="G1897" s="665"/>
      <c r="H1897" s="664">
        <f>SUM(H1898:H1900)</f>
        <v>301.93704700000001</v>
      </c>
      <c r="I1897" s="380">
        <v>1948.0350529557099</v>
      </c>
      <c r="J1897" s="631">
        <f t="shared" ref="J1897" si="485">IF(ISBLANK(I1897),"",SUM(H1897:I1897))</f>
        <v>2249.9720999557098</v>
      </c>
      <c r="K1897" s="593">
        <f t="shared" si="470"/>
        <v>2851.84</v>
      </c>
      <c r="L1897" s="594" t="s">
        <v>21</v>
      </c>
      <c r="M1897" s="30"/>
      <c r="N1897" s="30">
        <v>2851.84</v>
      </c>
      <c r="O1897" s="287">
        <f t="shared" si="471"/>
        <v>0</v>
      </c>
      <c r="P1897" s="287">
        <f t="shared" si="472"/>
        <v>0</v>
      </c>
      <c r="Q1897" s="288"/>
      <c r="R1897" s="311" t="str">
        <f>IF(P169&gt;0,"xy","")</f>
        <v/>
      </c>
      <c r="S1897" s="378" t="str">
        <f t="shared" si="462"/>
        <v/>
      </c>
    </row>
    <row r="1898" spans="2:19" hidden="1" x14ac:dyDescent="0.2">
      <c r="B1898" s="730" t="s">
        <v>168</v>
      </c>
      <c r="C1898" s="300"/>
      <c r="D1898" s="383" t="s">
        <v>213</v>
      </c>
      <c r="E1898" s="704"/>
      <c r="F1898" s="661">
        <v>500</v>
      </c>
      <c r="G1898" s="665">
        <v>0.2863</v>
      </c>
      <c r="H1898" s="664">
        <f>IF(F1898&lt;=30,(0.75*F1898+6.29)*G1898,((0.75*30+6.29)+0.62*(F1898-30))*G1898)</f>
        <v>91.670396999999994</v>
      </c>
      <c r="I1898" s="380">
        <v>0</v>
      </c>
      <c r="J1898" s="631"/>
      <c r="K1898" s="593">
        <f t="shared" si="470"/>
        <v>0</v>
      </c>
      <c r="L1898" s="594"/>
      <c r="M1898" s="600"/>
      <c r="N1898" s="600">
        <v>0</v>
      </c>
      <c r="O1898" s="287">
        <f t="shared" si="471"/>
        <v>0</v>
      </c>
      <c r="P1898" s="287">
        <f t="shared" si="472"/>
        <v>0</v>
      </c>
      <c r="Q1898" s="288"/>
      <c r="R1898" s="311" t="str">
        <f>IF(P169&gt;0,"xy","")</f>
        <v/>
      </c>
      <c r="S1898" s="378" t="str">
        <f t="shared" si="462"/>
        <v/>
      </c>
    </row>
    <row r="1899" spans="2:19" hidden="1" x14ac:dyDescent="0.2">
      <c r="B1899" s="730" t="s">
        <v>168</v>
      </c>
      <c r="C1899" s="300"/>
      <c r="D1899" s="383" t="s">
        <v>249</v>
      </c>
      <c r="E1899" s="704"/>
      <c r="F1899" s="661">
        <v>180</v>
      </c>
      <c r="G1899" s="665">
        <v>1.0182</v>
      </c>
      <c r="H1899" s="663">
        <f t="shared" ref="H1899" si="486">IF(F1899&lt;=30,(1.05*F1899+2.18)*G1899,((1.05*30+2.18)+0.87*(F1899-30))*G1899)</f>
        <v>167.16807600000001</v>
      </c>
      <c r="I1899" s="380">
        <v>0</v>
      </c>
      <c r="J1899" s="631"/>
      <c r="K1899" s="593">
        <f t="shared" si="470"/>
        <v>0</v>
      </c>
      <c r="L1899" s="594"/>
      <c r="M1899" s="600"/>
      <c r="N1899" s="600">
        <v>0</v>
      </c>
      <c r="O1899" s="287">
        <f t="shared" si="471"/>
        <v>0</v>
      </c>
      <c r="P1899" s="287">
        <f t="shared" si="472"/>
        <v>0</v>
      </c>
      <c r="Q1899" s="288"/>
      <c r="R1899" s="311" t="str">
        <f>IF(P169&gt;0,"xy","")</f>
        <v/>
      </c>
      <c r="S1899" s="378" t="str">
        <f t="shared" si="462"/>
        <v/>
      </c>
    </row>
    <row r="1900" spans="2:19" hidden="1" x14ac:dyDescent="0.2">
      <c r="B1900" s="730" t="s">
        <v>168</v>
      </c>
      <c r="C1900" s="300"/>
      <c r="D1900" s="383" t="s">
        <v>253</v>
      </c>
      <c r="E1900" s="704"/>
      <c r="F1900" s="661">
        <v>20</v>
      </c>
      <c r="G1900" s="665">
        <v>1.8593</v>
      </c>
      <c r="H1900" s="663">
        <f>IF(F1900&lt;=30,(1.05*F1900+2.18)*G1900,((1.05*30+2.18)+0.87*(F1900-30))*G1900)</f>
        <v>43.098573999999999</v>
      </c>
      <c r="I1900" s="380">
        <v>0</v>
      </c>
      <c r="J1900" s="631"/>
      <c r="K1900" s="593">
        <f t="shared" si="470"/>
        <v>0</v>
      </c>
      <c r="L1900" s="594"/>
      <c r="M1900" s="600"/>
      <c r="N1900" s="600">
        <v>0</v>
      </c>
      <c r="O1900" s="287">
        <f t="shared" si="471"/>
        <v>0</v>
      </c>
      <c r="P1900" s="287">
        <f t="shared" si="472"/>
        <v>0</v>
      </c>
      <c r="Q1900" s="288"/>
      <c r="R1900" s="243"/>
      <c r="S1900" s="378" t="str">
        <f t="shared" si="462"/>
        <v/>
      </c>
    </row>
    <row r="1901" spans="2:19" hidden="1" x14ac:dyDescent="0.2">
      <c r="B1901" s="730" t="s">
        <v>1861</v>
      </c>
      <c r="C1901" s="300" t="s">
        <v>207</v>
      </c>
      <c r="D1901" s="383" t="s">
        <v>364</v>
      </c>
      <c r="E1901" s="704"/>
      <c r="F1901" s="661"/>
      <c r="G1901" s="665"/>
      <c r="H1901" s="664">
        <f>SUM(H1902:H1904)</f>
        <v>437.84248500000001</v>
      </c>
      <c r="I1901" s="380">
        <v>2737.5367189853432</v>
      </c>
      <c r="J1901" s="631">
        <f t="shared" ref="J1901" si="487">IF(ISBLANK(I1901),"",SUM(H1901:I1901))</f>
        <v>3175.3792039853433</v>
      </c>
      <c r="K1901" s="593">
        <f t="shared" si="470"/>
        <v>4024.79</v>
      </c>
      <c r="L1901" s="594" t="s">
        <v>21</v>
      </c>
      <c r="M1901" s="30"/>
      <c r="N1901" s="30">
        <v>4024.79</v>
      </c>
      <c r="O1901" s="287">
        <f t="shared" si="471"/>
        <v>0</v>
      </c>
      <c r="P1901" s="287">
        <f t="shared" si="472"/>
        <v>0</v>
      </c>
      <c r="Q1901" s="288"/>
      <c r="R1901" s="311" t="str">
        <f>IF(P173&gt;0,"xy","")</f>
        <v/>
      </c>
      <c r="S1901" s="378" t="str">
        <f t="shared" si="462"/>
        <v/>
      </c>
    </row>
    <row r="1902" spans="2:19" hidden="1" x14ac:dyDescent="0.2">
      <c r="B1902" s="730" t="s">
        <v>168</v>
      </c>
      <c r="C1902" s="300"/>
      <c r="D1902" s="383" t="s">
        <v>213</v>
      </c>
      <c r="E1902" s="704"/>
      <c r="F1902" s="661">
        <v>500</v>
      </c>
      <c r="G1902" s="665">
        <v>0.4153</v>
      </c>
      <c r="H1902" s="664">
        <f>IF(F1902&lt;=30,(0.75*F1902+6.29)*G1902,((0.75*30+6.29)+0.62*(F1902-30))*G1902)</f>
        <v>132.974907</v>
      </c>
      <c r="I1902" s="380">
        <v>0</v>
      </c>
      <c r="J1902" s="631"/>
      <c r="K1902" s="593">
        <f t="shared" si="470"/>
        <v>0</v>
      </c>
      <c r="L1902" s="594"/>
      <c r="M1902" s="600"/>
      <c r="N1902" s="600">
        <v>0</v>
      </c>
      <c r="O1902" s="287">
        <f t="shared" si="471"/>
        <v>0</v>
      </c>
      <c r="P1902" s="287">
        <f t="shared" si="472"/>
        <v>0</v>
      </c>
      <c r="Q1902" s="288"/>
      <c r="R1902" s="311" t="str">
        <f>IF(P173&gt;0,"xy","")</f>
        <v/>
      </c>
      <c r="S1902" s="378" t="str">
        <f t="shared" si="462"/>
        <v/>
      </c>
    </row>
    <row r="1903" spans="2:19" hidden="1" x14ac:dyDescent="0.2">
      <c r="B1903" s="730" t="s">
        <v>168</v>
      </c>
      <c r="C1903" s="300"/>
      <c r="D1903" s="383" t="s">
        <v>249</v>
      </c>
      <c r="E1903" s="704"/>
      <c r="F1903" s="661">
        <v>180</v>
      </c>
      <c r="G1903" s="665">
        <v>1.4762999999999999</v>
      </c>
      <c r="H1903" s="663">
        <f t="shared" ref="H1903" si="488">IF(F1903&lt;=30,(1.05*F1903+2.18)*G1903,((1.05*30+2.18)+0.87*(F1903-30))*G1903)</f>
        <v>242.37893400000002</v>
      </c>
      <c r="I1903" s="380">
        <v>0</v>
      </c>
      <c r="J1903" s="631"/>
      <c r="K1903" s="593">
        <f t="shared" si="470"/>
        <v>0</v>
      </c>
      <c r="L1903" s="594"/>
      <c r="M1903" s="600"/>
      <c r="N1903" s="600">
        <v>0</v>
      </c>
      <c r="O1903" s="287">
        <f t="shared" si="471"/>
        <v>0</v>
      </c>
      <c r="P1903" s="287">
        <f t="shared" si="472"/>
        <v>0</v>
      </c>
      <c r="Q1903" s="288"/>
      <c r="R1903" s="311" t="str">
        <f>IF(P173&gt;0,"xy","")</f>
        <v/>
      </c>
      <c r="S1903" s="378" t="str">
        <f t="shared" si="462"/>
        <v/>
      </c>
    </row>
    <row r="1904" spans="2:19" hidden="1" x14ac:dyDescent="0.2">
      <c r="B1904" s="730" t="s">
        <v>168</v>
      </c>
      <c r="C1904" s="300"/>
      <c r="D1904" s="383" t="s">
        <v>253</v>
      </c>
      <c r="E1904" s="704"/>
      <c r="F1904" s="661">
        <v>20</v>
      </c>
      <c r="G1904" s="665">
        <v>2.6958000000000002</v>
      </c>
      <c r="H1904" s="663">
        <f>IF(F1904&lt;=30,(1.05*F1904+2.18)*G1904,((1.05*30+2.18)+0.87*(F1904-30))*G1904)</f>
        <v>62.488644000000001</v>
      </c>
      <c r="I1904" s="380">
        <v>0</v>
      </c>
      <c r="J1904" s="631"/>
      <c r="K1904" s="593">
        <f t="shared" si="470"/>
        <v>0</v>
      </c>
      <c r="L1904" s="594"/>
      <c r="M1904" s="600"/>
      <c r="N1904" s="600">
        <v>0</v>
      </c>
      <c r="O1904" s="287">
        <f t="shared" si="471"/>
        <v>0</v>
      </c>
      <c r="P1904" s="287">
        <f t="shared" si="472"/>
        <v>0</v>
      </c>
      <c r="Q1904" s="288"/>
      <c r="R1904" s="243"/>
      <c r="S1904" s="378" t="str">
        <f t="shared" si="462"/>
        <v/>
      </c>
    </row>
    <row r="1905" spans="2:19" hidden="1" x14ac:dyDescent="0.2">
      <c r="B1905" s="730">
        <v>620700</v>
      </c>
      <c r="C1905" s="300" t="s">
        <v>207</v>
      </c>
      <c r="D1905" s="383" t="s">
        <v>365</v>
      </c>
      <c r="E1905" s="704"/>
      <c r="F1905" s="661"/>
      <c r="G1905" s="665"/>
      <c r="H1905" s="664" t="e">
        <f>SUM(H1906:H1908)</f>
        <v>#VALUE!</v>
      </c>
      <c r="I1905" s="380">
        <v>3848.03</v>
      </c>
      <c r="J1905" s="631" t="e">
        <f t="shared" ref="J1905" si="489">IF(ISBLANK(I1905),"",SUM(H1905:I1905))</f>
        <v>#VALUE!</v>
      </c>
      <c r="K1905" s="593" t="e">
        <f t="shared" si="470"/>
        <v>#VALUE!</v>
      </c>
      <c r="L1905" s="594" t="s">
        <v>21</v>
      </c>
      <c r="M1905" s="30"/>
      <c r="N1905" s="30" t="e">
        <v>#VALUE!</v>
      </c>
      <c r="O1905" s="287">
        <f t="shared" si="471"/>
        <v>0</v>
      </c>
      <c r="P1905" s="287" t="e">
        <f t="shared" si="472"/>
        <v>#VALUE!</v>
      </c>
      <c r="Q1905" s="288"/>
      <c r="R1905" s="311" t="str">
        <f>IF(P177&gt;0,"xy","")</f>
        <v/>
      </c>
      <c r="S1905" s="378" t="e">
        <f t="shared" si="462"/>
        <v>#VALUE!</v>
      </c>
    </row>
    <row r="1906" spans="2:19" hidden="1" x14ac:dyDescent="0.2">
      <c r="B1906" s="730" t="s">
        <v>168</v>
      </c>
      <c r="C1906" s="300"/>
      <c r="D1906" s="383" t="s">
        <v>213</v>
      </c>
      <c r="E1906" s="704"/>
      <c r="F1906" s="661">
        <v>500</v>
      </c>
      <c r="G1906" s="665" t="s">
        <v>97</v>
      </c>
      <c r="H1906" s="664" t="e">
        <f>IF(F1906&lt;=30,(0.75*F1906+6.29)*G1906,((0.75*30+6.29)+0.62*(F1906-30))*G1906)</f>
        <v>#VALUE!</v>
      </c>
      <c r="I1906" s="380">
        <v>0</v>
      </c>
      <c r="J1906" s="631"/>
      <c r="K1906" s="593">
        <f t="shared" si="470"/>
        <v>0</v>
      </c>
      <c r="L1906" s="594"/>
      <c r="M1906" s="600"/>
      <c r="N1906" s="600">
        <v>0</v>
      </c>
      <c r="O1906" s="287">
        <f t="shared" si="471"/>
        <v>0</v>
      </c>
      <c r="P1906" s="287">
        <f t="shared" si="472"/>
        <v>0</v>
      </c>
      <c r="Q1906" s="288"/>
      <c r="R1906" s="311" t="str">
        <f>IF(P177&gt;0,"xy","")</f>
        <v/>
      </c>
      <c r="S1906" s="378" t="str">
        <f t="shared" si="462"/>
        <v/>
      </c>
    </row>
    <row r="1907" spans="2:19" hidden="1" x14ac:dyDescent="0.2">
      <c r="B1907" s="730" t="s">
        <v>168</v>
      </c>
      <c r="C1907" s="300"/>
      <c r="D1907" s="383" t="s">
        <v>249</v>
      </c>
      <c r="E1907" s="704"/>
      <c r="F1907" s="661">
        <v>180</v>
      </c>
      <c r="G1907" s="665" t="s">
        <v>98</v>
      </c>
      <c r="H1907" s="663" t="e">
        <f t="shared" ref="H1907" si="490">IF(F1907&lt;=30,(1.05*F1907+2.18)*G1907,((1.05*30+2.18)+0.87*(F1907-30))*G1907)</f>
        <v>#VALUE!</v>
      </c>
      <c r="I1907" s="380">
        <v>0</v>
      </c>
      <c r="J1907" s="631"/>
      <c r="K1907" s="593">
        <f t="shared" si="470"/>
        <v>0</v>
      </c>
      <c r="L1907" s="594"/>
      <c r="M1907" s="600"/>
      <c r="N1907" s="600">
        <v>0</v>
      </c>
      <c r="O1907" s="287">
        <f t="shared" si="471"/>
        <v>0</v>
      </c>
      <c r="P1907" s="287">
        <f t="shared" si="472"/>
        <v>0</v>
      </c>
      <c r="Q1907" s="288"/>
      <c r="R1907" s="311" t="str">
        <f>IF(P177&gt;0,"xy","")</f>
        <v/>
      </c>
      <c r="S1907" s="378" t="str">
        <f t="shared" si="462"/>
        <v/>
      </c>
    </row>
    <row r="1908" spans="2:19" hidden="1" x14ac:dyDescent="0.2">
      <c r="B1908" s="730" t="s">
        <v>168</v>
      </c>
      <c r="C1908" s="300"/>
      <c r="D1908" s="383" t="s">
        <v>253</v>
      </c>
      <c r="E1908" s="704"/>
      <c r="F1908" s="661">
        <v>20</v>
      </c>
      <c r="G1908" s="665">
        <v>4.0453000000000001</v>
      </c>
      <c r="H1908" s="663">
        <f>IF(F1908&lt;=30,(1.05*F1908+2.18)*G1908,((1.05*30+2.18)+0.87*(F1908-30))*G1908)</f>
        <v>93.770054000000002</v>
      </c>
      <c r="I1908" s="380">
        <v>0</v>
      </c>
      <c r="J1908" s="631"/>
      <c r="K1908" s="593">
        <f t="shared" si="470"/>
        <v>0</v>
      </c>
      <c r="L1908" s="594"/>
      <c r="M1908" s="600"/>
      <c r="N1908" s="600">
        <v>0</v>
      </c>
      <c r="O1908" s="287">
        <f t="shared" si="471"/>
        <v>0</v>
      </c>
      <c r="P1908" s="287">
        <f t="shared" si="472"/>
        <v>0</v>
      </c>
      <c r="Q1908" s="288"/>
      <c r="R1908" s="243"/>
      <c r="S1908" s="378" t="str">
        <f t="shared" si="462"/>
        <v/>
      </c>
    </row>
    <row r="1909" spans="2:19" hidden="1" x14ac:dyDescent="0.2">
      <c r="B1909" s="730">
        <v>620800</v>
      </c>
      <c r="C1909" s="300" t="s">
        <v>207</v>
      </c>
      <c r="D1909" s="383" t="s">
        <v>366</v>
      </c>
      <c r="E1909" s="704"/>
      <c r="F1909" s="661"/>
      <c r="G1909" s="665"/>
      <c r="H1909" s="664">
        <f>SUM(H1910:H1912)</f>
        <v>863.89652699999999</v>
      </c>
      <c r="I1909" s="380">
        <v>4887.2199999999993</v>
      </c>
      <c r="J1909" s="631">
        <f t="shared" ref="J1909" si="491">IF(ISBLANK(I1909),"",SUM(H1909:I1909))</f>
        <v>5751.1165269999992</v>
      </c>
      <c r="K1909" s="593">
        <f t="shared" si="470"/>
        <v>7289.54</v>
      </c>
      <c r="L1909" s="594" t="s">
        <v>21</v>
      </c>
      <c r="M1909" s="30"/>
      <c r="N1909" s="30">
        <v>7289.54</v>
      </c>
      <c r="O1909" s="287">
        <f t="shared" si="471"/>
        <v>0</v>
      </c>
      <c r="P1909" s="287">
        <f t="shared" si="472"/>
        <v>0</v>
      </c>
      <c r="Q1909" s="288"/>
      <c r="R1909" s="311" t="str">
        <f>IF(P181&gt;0,"xy","")</f>
        <v/>
      </c>
      <c r="S1909" s="378" t="str">
        <f t="shared" si="462"/>
        <v/>
      </c>
    </row>
    <row r="1910" spans="2:19" hidden="1" x14ac:dyDescent="0.2">
      <c r="B1910" s="730" t="s">
        <v>168</v>
      </c>
      <c r="C1910" s="300"/>
      <c r="D1910" s="383" t="s">
        <v>213</v>
      </c>
      <c r="E1910" s="704"/>
      <c r="F1910" s="661">
        <v>500</v>
      </c>
      <c r="G1910" s="665">
        <v>0.81930000000000003</v>
      </c>
      <c r="H1910" s="664">
        <f>IF(F1910&lt;=30,(0.75*F1910+6.29)*G1910,((0.75*30+6.29)+0.62*(F1910-30))*G1910)</f>
        <v>262.33166699999998</v>
      </c>
      <c r="I1910" s="380">
        <v>0</v>
      </c>
      <c r="J1910" s="631"/>
      <c r="K1910" s="593">
        <f t="shared" si="470"/>
        <v>0</v>
      </c>
      <c r="L1910" s="594"/>
      <c r="M1910" s="600"/>
      <c r="N1910" s="600">
        <v>0</v>
      </c>
      <c r="O1910" s="287">
        <f t="shared" si="471"/>
        <v>0</v>
      </c>
      <c r="P1910" s="287">
        <f t="shared" si="472"/>
        <v>0</v>
      </c>
      <c r="Q1910" s="288"/>
      <c r="R1910" s="311" t="str">
        <f>IF(P181&gt;0,"xy","")</f>
        <v/>
      </c>
      <c r="S1910" s="378" t="str">
        <f t="shared" si="462"/>
        <v/>
      </c>
    </row>
    <row r="1911" spans="2:19" hidden="1" x14ac:dyDescent="0.2">
      <c r="B1911" s="730" t="s">
        <v>168</v>
      </c>
      <c r="C1911" s="300"/>
      <c r="D1911" s="383" t="s">
        <v>249</v>
      </c>
      <c r="E1911" s="704"/>
      <c r="F1911" s="661">
        <v>180</v>
      </c>
      <c r="G1911" s="665">
        <v>2.9131</v>
      </c>
      <c r="H1911" s="663">
        <f t="shared" ref="H1911" si="492">IF(F1911&lt;=30,(1.05*F1911+2.18)*G1911,((1.05*30+2.18)+0.87*(F1911-30))*G1911)</f>
        <v>478.27275800000001</v>
      </c>
      <c r="I1911" s="380">
        <v>0</v>
      </c>
      <c r="J1911" s="631"/>
      <c r="K1911" s="593">
        <f t="shared" si="470"/>
        <v>0</v>
      </c>
      <c r="L1911" s="594"/>
      <c r="M1911" s="600"/>
      <c r="N1911" s="600">
        <v>0</v>
      </c>
      <c r="O1911" s="287">
        <f t="shared" si="471"/>
        <v>0</v>
      </c>
      <c r="P1911" s="287">
        <f t="shared" si="472"/>
        <v>0</v>
      </c>
      <c r="Q1911" s="288"/>
      <c r="R1911" s="311" t="str">
        <f>IF(P181&gt;0,"xy","")</f>
        <v/>
      </c>
      <c r="S1911" s="378" t="str">
        <f t="shared" si="462"/>
        <v/>
      </c>
    </row>
    <row r="1912" spans="2:19" hidden="1" x14ac:dyDescent="0.2">
      <c r="B1912" s="730" t="s">
        <v>168</v>
      </c>
      <c r="C1912" s="300"/>
      <c r="D1912" s="383" t="s">
        <v>253</v>
      </c>
      <c r="E1912" s="704"/>
      <c r="F1912" s="661">
        <v>20</v>
      </c>
      <c r="G1912" s="665">
        <v>5.3189000000000002</v>
      </c>
      <c r="H1912" s="663">
        <f>IF(F1912&lt;=30,(1.05*F1912+2.18)*G1912,((1.05*30+2.18)+0.87*(F1912-30))*G1912)</f>
        <v>123.292102</v>
      </c>
      <c r="I1912" s="380">
        <v>0</v>
      </c>
      <c r="J1912" s="631"/>
      <c r="K1912" s="593">
        <f t="shared" si="449"/>
        <v>0</v>
      </c>
      <c r="L1912" s="594"/>
      <c r="M1912" s="600"/>
      <c r="N1912" s="600">
        <v>0</v>
      </c>
      <c r="O1912" s="287">
        <f t="shared" si="429"/>
        <v>0</v>
      </c>
      <c r="P1912" s="287">
        <f t="shared" si="430"/>
        <v>0</v>
      </c>
      <c r="Q1912" s="288"/>
      <c r="R1912" s="243"/>
      <c r="S1912" s="378" t="str">
        <f t="shared" si="462"/>
        <v/>
      </c>
    </row>
    <row r="1913" spans="2:19" hidden="1" x14ac:dyDescent="0.2">
      <c r="B1913" s="730">
        <v>620900</v>
      </c>
      <c r="C1913" s="300" t="s">
        <v>207</v>
      </c>
      <c r="D1913" s="383" t="s">
        <v>367</v>
      </c>
      <c r="E1913" s="704"/>
      <c r="F1913" s="661"/>
      <c r="G1913" s="665"/>
      <c r="H1913" s="664">
        <f>SUM(H1914:H1916)</f>
        <v>1698.0966099999998</v>
      </c>
      <c r="I1913" s="380">
        <v>8211.2199999999993</v>
      </c>
      <c r="J1913" s="631">
        <f t="shared" ref="J1913" si="493">IF(ISBLANK(I1913),"",SUM(H1913:I1913))</f>
        <v>9909.3166099999999</v>
      </c>
      <c r="K1913" s="593">
        <f t="shared" si="449"/>
        <v>12560.06</v>
      </c>
      <c r="L1913" s="594" t="s">
        <v>21</v>
      </c>
      <c r="M1913" s="30"/>
      <c r="N1913" s="30">
        <v>12560.06</v>
      </c>
      <c r="O1913" s="287">
        <f t="shared" si="429"/>
        <v>0</v>
      </c>
      <c r="P1913" s="287">
        <f t="shared" si="430"/>
        <v>0</v>
      </c>
      <c r="Q1913" s="288"/>
      <c r="R1913" s="311" t="str">
        <f>IF(P141&gt;0,"xy","")</f>
        <v/>
      </c>
      <c r="S1913" s="378" t="str">
        <f t="shared" si="462"/>
        <v/>
      </c>
    </row>
    <row r="1914" spans="2:19" hidden="1" x14ac:dyDescent="0.2">
      <c r="B1914" s="730" t="s">
        <v>168</v>
      </c>
      <c r="C1914" s="300"/>
      <c r="D1914" s="383" t="s">
        <v>213</v>
      </c>
      <c r="E1914" s="704"/>
      <c r="F1914" s="661">
        <v>500</v>
      </c>
      <c r="G1914" s="665">
        <v>1.6104000000000001</v>
      </c>
      <c r="H1914" s="664">
        <f>IF(F1914&lt;=30,(0.75*F1914+6.29)*G1914,((0.75*30+6.29)+0.62*(F1914-30))*G1914)</f>
        <v>515.63397599999996</v>
      </c>
      <c r="I1914" s="380">
        <v>0</v>
      </c>
      <c r="J1914" s="631"/>
      <c r="K1914" s="593">
        <f t="shared" si="449"/>
        <v>0</v>
      </c>
      <c r="L1914" s="594"/>
      <c r="M1914" s="600"/>
      <c r="N1914" s="600">
        <v>0</v>
      </c>
      <c r="O1914" s="287">
        <f t="shared" si="429"/>
        <v>0</v>
      </c>
      <c r="P1914" s="287">
        <f t="shared" si="430"/>
        <v>0</v>
      </c>
      <c r="Q1914" s="288"/>
      <c r="R1914" s="311" t="str">
        <f>IF(P141&gt;0,"xy","")</f>
        <v/>
      </c>
      <c r="S1914" s="378" t="str">
        <f t="shared" si="462"/>
        <v/>
      </c>
    </row>
    <row r="1915" spans="2:19" hidden="1" x14ac:dyDescent="0.2">
      <c r="B1915" s="730" t="s">
        <v>168</v>
      </c>
      <c r="C1915" s="300"/>
      <c r="D1915" s="383" t="s">
        <v>249</v>
      </c>
      <c r="E1915" s="704"/>
      <c r="F1915" s="661">
        <v>180</v>
      </c>
      <c r="G1915" s="665">
        <v>5.7260999999999997</v>
      </c>
      <c r="H1915" s="663">
        <f t="shared" ref="H1915" si="494">IF(F1915&lt;=30,(1.05*F1915+2.18)*G1915,((1.05*30+2.18)+0.87*(F1915-30))*G1915)</f>
        <v>940.11109799999997</v>
      </c>
      <c r="I1915" s="380">
        <v>0</v>
      </c>
      <c r="J1915" s="631"/>
      <c r="K1915" s="593">
        <f t="shared" si="449"/>
        <v>0</v>
      </c>
      <c r="L1915" s="594"/>
      <c r="M1915" s="600"/>
      <c r="N1915" s="600">
        <v>0</v>
      </c>
      <c r="O1915" s="287">
        <f t="shared" si="429"/>
        <v>0</v>
      </c>
      <c r="P1915" s="287">
        <f t="shared" si="430"/>
        <v>0</v>
      </c>
      <c r="Q1915" s="288"/>
      <c r="R1915" s="311" t="str">
        <f>IF(P141&gt;0,"xy","")</f>
        <v/>
      </c>
      <c r="S1915" s="378" t="str">
        <f t="shared" si="462"/>
        <v/>
      </c>
    </row>
    <row r="1916" spans="2:19" hidden="1" x14ac:dyDescent="0.2">
      <c r="B1916" s="730" t="s">
        <v>168</v>
      </c>
      <c r="C1916" s="300"/>
      <c r="D1916" s="383" t="s">
        <v>253</v>
      </c>
      <c r="E1916" s="704"/>
      <c r="F1916" s="661">
        <v>20</v>
      </c>
      <c r="G1916" s="665">
        <v>10.4552</v>
      </c>
      <c r="H1916" s="663">
        <f>IF(F1916&lt;=30,(1.05*F1916+2.18)*G1916,((1.05*30+2.18)+0.87*(F1916-30))*G1916)</f>
        <v>242.35153599999998</v>
      </c>
      <c r="I1916" s="380">
        <v>0</v>
      </c>
      <c r="J1916" s="631"/>
      <c r="K1916" s="593">
        <f t="shared" si="449"/>
        <v>0</v>
      </c>
      <c r="L1916" s="594"/>
      <c r="M1916" s="600"/>
      <c r="N1916" s="600">
        <v>0</v>
      </c>
      <c r="O1916" s="287">
        <f t="shared" si="429"/>
        <v>0</v>
      </c>
      <c r="P1916" s="287">
        <f t="shared" si="430"/>
        <v>0</v>
      </c>
      <c r="Q1916" s="288"/>
      <c r="R1916" s="243"/>
      <c r="S1916" s="378" t="str">
        <f t="shared" si="462"/>
        <v/>
      </c>
    </row>
    <row r="1917" spans="2:19" hidden="1" x14ac:dyDescent="0.2">
      <c r="B1917" s="730">
        <v>621000</v>
      </c>
      <c r="C1917" s="300" t="s">
        <v>207</v>
      </c>
      <c r="D1917" s="383" t="s">
        <v>368</v>
      </c>
      <c r="E1917" s="704"/>
      <c r="F1917" s="661"/>
      <c r="G1917" s="665"/>
      <c r="H1917" s="664">
        <f>SUM(H1918:H1920)</f>
        <v>3248.7388220000003</v>
      </c>
      <c r="I1917" s="380">
        <v>14100.83</v>
      </c>
      <c r="J1917" s="631">
        <f t="shared" ref="J1917" si="495">IF(ISBLANK(I1917),"",SUM(H1917:I1917))</f>
        <v>17349.568822000001</v>
      </c>
      <c r="K1917" s="593">
        <f t="shared" si="449"/>
        <v>21990.58</v>
      </c>
      <c r="L1917" s="594" t="s">
        <v>21</v>
      </c>
      <c r="M1917" s="30"/>
      <c r="N1917" s="30">
        <v>21990.58</v>
      </c>
      <c r="O1917" s="287">
        <f t="shared" si="429"/>
        <v>0</v>
      </c>
      <c r="P1917" s="287">
        <f t="shared" si="430"/>
        <v>0</v>
      </c>
      <c r="Q1917" s="288"/>
      <c r="R1917" s="311" t="str">
        <f>IF(P141&gt;0,"xy","")</f>
        <v/>
      </c>
      <c r="S1917" s="378" t="str">
        <f t="shared" ref="S1917:S1980" si="496">IF(R1917="x","x",IF(R1917="y","x",IF(R1917="xy","x",IF(P1917&gt;0,"x",""))))</f>
        <v/>
      </c>
    </row>
    <row r="1918" spans="2:19" hidden="1" x14ac:dyDescent="0.2">
      <c r="B1918" s="730" t="s">
        <v>168</v>
      </c>
      <c r="C1918" s="300"/>
      <c r="D1918" s="383" t="s">
        <v>213</v>
      </c>
      <c r="E1918" s="704"/>
      <c r="F1918" s="661">
        <v>500</v>
      </c>
      <c r="G1918" s="665">
        <v>3.081</v>
      </c>
      <c r="H1918" s="664">
        <f>IF(F1918&lt;=30,(0.75*F1918+6.29)*G1918,((0.75*30+6.29)+0.62*(F1918-30))*G1918)</f>
        <v>986.50539000000003</v>
      </c>
      <c r="I1918" s="380">
        <v>0</v>
      </c>
      <c r="J1918" s="631"/>
      <c r="K1918" s="593">
        <f t="shared" si="449"/>
        <v>0</v>
      </c>
      <c r="L1918" s="594"/>
      <c r="M1918" s="600"/>
      <c r="N1918" s="600">
        <v>0</v>
      </c>
      <c r="O1918" s="287">
        <f t="shared" si="429"/>
        <v>0</v>
      </c>
      <c r="P1918" s="287">
        <f t="shared" si="430"/>
        <v>0</v>
      </c>
      <c r="Q1918" s="288"/>
      <c r="R1918" s="311" t="str">
        <f>IF(P141&gt;0,"xy","")</f>
        <v/>
      </c>
      <c r="S1918" s="378" t="str">
        <f t="shared" si="496"/>
        <v/>
      </c>
    </row>
    <row r="1919" spans="2:19" hidden="1" x14ac:dyDescent="0.2">
      <c r="B1919" s="730" t="s">
        <v>168</v>
      </c>
      <c r="C1919" s="300"/>
      <c r="D1919" s="383" t="s">
        <v>249</v>
      </c>
      <c r="E1919" s="704"/>
      <c r="F1919" s="661">
        <v>180</v>
      </c>
      <c r="G1919" s="665">
        <v>10.9549</v>
      </c>
      <c r="H1919" s="663">
        <f t="shared" ref="H1919" si="497">IF(F1919&lt;=30,(1.05*F1919+2.18)*G1919,((1.05*30+2.18)+0.87*(F1919-30))*G1919)</f>
        <v>1798.5754820000002</v>
      </c>
      <c r="I1919" s="380">
        <v>0</v>
      </c>
      <c r="J1919" s="631"/>
      <c r="K1919" s="593">
        <f t="shared" si="449"/>
        <v>0</v>
      </c>
      <c r="L1919" s="594"/>
      <c r="M1919" s="600"/>
      <c r="N1919" s="600">
        <v>0</v>
      </c>
      <c r="O1919" s="287">
        <f t="shared" si="429"/>
        <v>0</v>
      </c>
      <c r="P1919" s="287">
        <f t="shared" si="430"/>
        <v>0</v>
      </c>
      <c r="Q1919" s="288"/>
      <c r="R1919" s="311" t="str">
        <f>IF(P141&gt;0,"xy","")</f>
        <v/>
      </c>
      <c r="S1919" s="378" t="str">
        <f t="shared" si="496"/>
        <v/>
      </c>
    </row>
    <row r="1920" spans="2:19" hidden="1" x14ac:dyDescent="0.2">
      <c r="B1920" s="730" t="s">
        <v>168</v>
      </c>
      <c r="C1920" s="300"/>
      <c r="D1920" s="383" t="s">
        <v>253</v>
      </c>
      <c r="E1920" s="704"/>
      <c r="F1920" s="661">
        <v>20</v>
      </c>
      <c r="G1920" s="665">
        <v>20.002500000000001</v>
      </c>
      <c r="H1920" s="663">
        <f>IF(F1920&lt;=30,(1.05*F1920+2.18)*G1920,((1.05*30+2.18)+0.87*(F1920-30))*G1920)</f>
        <v>463.65795000000003</v>
      </c>
      <c r="I1920" s="380">
        <v>0</v>
      </c>
      <c r="J1920" s="631"/>
      <c r="K1920" s="593">
        <f t="shared" si="449"/>
        <v>0</v>
      </c>
      <c r="L1920" s="594"/>
      <c r="M1920" s="600"/>
      <c r="N1920" s="600">
        <v>0</v>
      </c>
      <c r="O1920" s="287">
        <f t="shared" si="429"/>
        <v>0</v>
      </c>
      <c r="P1920" s="287">
        <f t="shared" si="430"/>
        <v>0</v>
      </c>
      <c r="Q1920" s="288"/>
      <c r="R1920" s="243"/>
      <c r="S1920" s="378" t="str">
        <f t="shared" si="496"/>
        <v/>
      </c>
    </row>
    <row r="1921" spans="2:19" hidden="1" x14ac:dyDescent="0.2">
      <c r="B1921" s="730" t="s">
        <v>1859</v>
      </c>
      <c r="C1921" s="300" t="s">
        <v>207</v>
      </c>
      <c r="D1921" s="383" t="s">
        <v>369</v>
      </c>
      <c r="E1921" s="704"/>
      <c r="F1921" s="661"/>
      <c r="G1921" s="665"/>
      <c r="H1921" s="664">
        <f>SUM(H1922:H1924)</f>
        <v>395.27927199999999</v>
      </c>
      <c r="I1921" s="380">
        <v>2469.5224261448679</v>
      </c>
      <c r="J1921" s="631">
        <f t="shared" ref="J1921" si="498">IF(ISBLANK(I1921),"",SUM(H1921:I1921))</f>
        <v>2864.8016981448682</v>
      </c>
      <c r="K1921" s="593">
        <f t="shared" si="449"/>
        <v>3631.14</v>
      </c>
      <c r="L1921" s="594" t="s">
        <v>21</v>
      </c>
      <c r="M1921" s="30"/>
      <c r="N1921" s="30">
        <v>3631.14</v>
      </c>
      <c r="O1921" s="287">
        <f t="shared" si="429"/>
        <v>0</v>
      </c>
      <c r="P1921" s="287">
        <f t="shared" si="430"/>
        <v>0</v>
      </c>
      <c r="Q1921" s="288"/>
      <c r="R1921" s="311" t="str">
        <f>IF(P141&gt;0,"xy","")</f>
        <v/>
      </c>
      <c r="S1921" s="378" t="str">
        <f t="shared" si="496"/>
        <v/>
      </c>
    </row>
    <row r="1922" spans="2:19" hidden="1" x14ac:dyDescent="0.2">
      <c r="B1922" s="730" t="s">
        <v>168</v>
      </c>
      <c r="C1922" s="300"/>
      <c r="D1922" s="383" t="s">
        <v>213</v>
      </c>
      <c r="E1922" s="704"/>
      <c r="F1922" s="661">
        <v>500</v>
      </c>
      <c r="G1922" s="665">
        <v>0.37480000000000002</v>
      </c>
      <c r="H1922" s="664">
        <f>IF(F1922&lt;=30,(0.75*F1922+6.29)*G1922,((0.75*30+6.29)+0.62*(F1922-30))*G1922)</f>
        <v>120.00721200000001</v>
      </c>
      <c r="I1922" s="380">
        <v>0</v>
      </c>
      <c r="J1922" s="631"/>
      <c r="K1922" s="593">
        <f t="shared" si="449"/>
        <v>0</v>
      </c>
      <c r="L1922" s="594"/>
      <c r="M1922" s="600"/>
      <c r="N1922" s="600">
        <v>0</v>
      </c>
      <c r="O1922" s="287">
        <f t="shared" si="429"/>
        <v>0</v>
      </c>
      <c r="P1922" s="287">
        <f t="shared" si="430"/>
        <v>0</v>
      </c>
      <c r="Q1922" s="288"/>
      <c r="R1922" s="311" t="str">
        <f>IF(P141&gt;0,"xy","")</f>
        <v/>
      </c>
      <c r="S1922" s="378" t="str">
        <f t="shared" si="496"/>
        <v/>
      </c>
    </row>
    <row r="1923" spans="2:19" hidden="1" x14ac:dyDescent="0.2">
      <c r="B1923" s="730" t="s">
        <v>168</v>
      </c>
      <c r="C1923" s="300"/>
      <c r="D1923" s="383" t="s">
        <v>249</v>
      </c>
      <c r="E1923" s="704"/>
      <c r="F1923" s="661">
        <v>180</v>
      </c>
      <c r="G1923" s="665">
        <v>1.333</v>
      </c>
      <c r="H1923" s="663">
        <f t="shared" ref="H1923" si="499">IF(F1923&lt;=30,(1.05*F1923+2.18)*G1923,((1.05*30+2.18)+0.87*(F1923-30))*G1923)</f>
        <v>218.85194000000001</v>
      </c>
      <c r="I1923" s="380">
        <v>0</v>
      </c>
      <c r="J1923" s="631"/>
      <c r="K1923" s="593">
        <f t="shared" si="449"/>
        <v>0</v>
      </c>
      <c r="L1923" s="594"/>
      <c r="M1923" s="600"/>
      <c r="N1923" s="600">
        <v>0</v>
      </c>
      <c r="O1923" s="287">
        <f t="shared" si="429"/>
        <v>0</v>
      </c>
      <c r="P1923" s="287">
        <f t="shared" si="430"/>
        <v>0</v>
      </c>
      <c r="Q1923" s="288"/>
      <c r="R1923" s="311" t="str">
        <f>IF(P141&gt;0,"xy","")</f>
        <v/>
      </c>
      <c r="S1923" s="378" t="str">
        <f t="shared" si="496"/>
        <v/>
      </c>
    </row>
    <row r="1924" spans="2:19" hidden="1" x14ac:dyDescent="0.2">
      <c r="B1924" s="730" t="s">
        <v>168</v>
      </c>
      <c r="C1924" s="300"/>
      <c r="D1924" s="383" t="s">
        <v>253</v>
      </c>
      <c r="E1924" s="704"/>
      <c r="F1924" s="661">
        <v>20</v>
      </c>
      <c r="G1924" s="665">
        <v>2.4340000000000002</v>
      </c>
      <c r="H1924" s="663">
        <f>IF(F1924&lt;=30,(1.05*F1924+2.18)*G1924,((1.05*30+2.18)+0.87*(F1924-30))*G1924)</f>
        <v>56.420120000000004</v>
      </c>
      <c r="I1924" s="380">
        <v>0</v>
      </c>
      <c r="J1924" s="631"/>
      <c r="K1924" s="593">
        <f t="shared" si="449"/>
        <v>0</v>
      </c>
      <c r="L1924" s="594"/>
      <c r="M1924" s="600"/>
      <c r="N1924" s="600">
        <v>0</v>
      </c>
      <c r="O1924" s="287">
        <f t="shared" si="429"/>
        <v>0</v>
      </c>
      <c r="P1924" s="287">
        <f t="shared" si="430"/>
        <v>0</v>
      </c>
      <c r="Q1924" s="288"/>
      <c r="R1924" s="243"/>
      <c r="S1924" s="378" t="str">
        <f t="shared" si="496"/>
        <v/>
      </c>
    </row>
    <row r="1925" spans="2:19" hidden="1" x14ac:dyDescent="0.2">
      <c r="B1925" s="730" t="s">
        <v>1862</v>
      </c>
      <c r="C1925" s="300" t="s">
        <v>207</v>
      </c>
      <c r="D1925" s="383" t="s">
        <v>370</v>
      </c>
      <c r="E1925" s="704"/>
      <c r="F1925" s="661"/>
      <c r="G1925" s="665">
        <v>0</v>
      </c>
      <c r="H1925" s="664">
        <f>SUM(H1926:H1928)</f>
        <v>573.1681900000001</v>
      </c>
      <c r="I1925" s="380">
        <v>3475.5014636998585</v>
      </c>
      <c r="J1925" s="631">
        <f t="shared" ref="J1925" si="500">IF(ISBLANK(I1925),"",SUM(H1925:I1925))</f>
        <v>4048.6696536998588</v>
      </c>
      <c r="K1925" s="593">
        <f t="shared" si="449"/>
        <v>5131.6899999999996</v>
      </c>
      <c r="L1925" s="594" t="s">
        <v>21</v>
      </c>
      <c r="M1925" s="30"/>
      <c r="N1925" s="30">
        <v>5131.6899999999996</v>
      </c>
      <c r="O1925" s="287">
        <f t="shared" si="429"/>
        <v>0</v>
      </c>
      <c r="P1925" s="287">
        <f t="shared" si="430"/>
        <v>0</v>
      </c>
      <c r="Q1925" s="288"/>
      <c r="R1925" s="311" t="str">
        <f>IF(P141&gt;0,"xy","")</f>
        <v/>
      </c>
      <c r="S1925" s="378" t="str">
        <f t="shared" si="496"/>
        <v/>
      </c>
    </row>
    <row r="1926" spans="2:19" hidden="1" x14ac:dyDescent="0.2">
      <c r="B1926" s="730" t="s">
        <v>168</v>
      </c>
      <c r="C1926" s="300"/>
      <c r="D1926" s="383" t="s">
        <v>213</v>
      </c>
      <c r="E1926" s="704"/>
      <c r="F1926" s="661">
        <v>500</v>
      </c>
      <c r="G1926" s="665">
        <v>0.54359999999999997</v>
      </c>
      <c r="H1926" s="664">
        <f>IF(F1926&lt;=30,(0.75*F1926+6.29)*G1926,((0.75*30+6.29)+0.62*(F1926-30))*G1926)</f>
        <v>174.055284</v>
      </c>
      <c r="I1926" s="380">
        <v>0</v>
      </c>
      <c r="J1926" s="631"/>
      <c r="K1926" s="593">
        <f t="shared" si="449"/>
        <v>0</v>
      </c>
      <c r="L1926" s="594"/>
      <c r="M1926" s="600"/>
      <c r="N1926" s="600">
        <v>0</v>
      </c>
      <c r="O1926" s="287">
        <f t="shared" si="429"/>
        <v>0</v>
      </c>
      <c r="P1926" s="287">
        <f t="shared" si="430"/>
        <v>0</v>
      </c>
      <c r="Q1926" s="288"/>
      <c r="R1926" s="311" t="str">
        <f>IF(P141&gt;0,"xy","")</f>
        <v/>
      </c>
      <c r="S1926" s="378" t="str">
        <f t="shared" si="496"/>
        <v/>
      </c>
    </row>
    <row r="1927" spans="2:19" hidden="1" x14ac:dyDescent="0.2">
      <c r="B1927" s="730" t="s">
        <v>168</v>
      </c>
      <c r="C1927" s="300"/>
      <c r="D1927" s="383" t="s">
        <v>249</v>
      </c>
      <c r="E1927" s="704"/>
      <c r="F1927" s="661">
        <v>180</v>
      </c>
      <c r="G1927" s="665">
        <v>1.9327000000000001</v>
      </c>
      <c r="H1927" s="663">
        <f t="shared" ref="H1927" si="501">IF(F1927&lt;=30,(1.05*F1927+2.18)*G1927,((1.05*30+2.18)+0.87*(F1927-30))*G1927)</f>
        <v>317.31068600000003</v>
      </c>
      <c r="I1927" s="380">
        <v>0</v>
      </c>
      <c r="J1927" s="631"/>
      <c r="K1927" s="593">
        <f t="shared" si="449"/>
        <v>0</v>
      </c>
      <c r="L1927" s="594"/>
      <c r="M1927" s="600"/>
      <c r="N1927" s="600">
        <v>0</v>
      </c>
      <c r="O1927" s="287">
        <f t="shared" si="429"/>
        <v>0</v>
      </c>
      <c r="P1927" s="287">
        <f t="shared" si="430"/>
        <v>0</v>
      </c>
      <c r="Q1927" s="288"/>
      <c r="S1927" s="378" t="str">
        <f t="shared" si="496"/>
        <v/>
      </c>
    </row>
    <row r="1928" spans="2:19" hidden="1" x14ac:dyDescent="0.2">
      <c r="B1928" s="730" t="s">
        <v>168</v>
      </c>
      <c r="C1928" s="300"/>
      <c r="D1928" s="383" t="s">
        <v>253</v>
      </c>
      <c r="E1928" s="704"/>
      <c r="F1928" s="661">
        <v>20</v>
      </c>
      <c r="G1928" s="665">
        <v>3.5289999999999999</v>
      </c>
      <c r="H1928" s="663">
        <f>IF(F1928&lt;=30,(1.05*F1928+2.18)*G1928,((1.05*30+2.18)+0.87*(F1928-30))*G1928)</f>
        <v>81.802219999999991</v>
      </c>
      <c r="I1928" s="380">
        <v>0</v>
      </c>
      <c r="J1928" s="631"/>
      <c r="K1928" s="593">
        <f t="shared" si="449"/>
        <v>0</v>
      </c>
      <c r="L1928" s="594"/>
      <c r="M1928" s="600"/>
      <c r="N1928" s="600">
        <v>0</v>
      </c>
      <c r="O1928" s="287">
        <f t="shared" si="429"/>
        <v>0</v>
      </c>
      <c r="P1928" s="287">
        <f t="shared" si="430"/>
        <v>0</v>
      </c>
      <c r="Q1928" s="288"/>
      <c r="R1928" s="243"/>
      <c r="S1928" s="378" t="str">
        <f t="shared" si="496"/>
        <v/>
      </c>
    </row>
    <row r="1929" spans="2:19" hidden="1" x14ac:dyDescent="0.2">
      <c r="B1929" s="730">
        <v>621100</v>
      </c>
      <c r="C1929" s="300" t="s">
        <v>207</v>
      </c>
      <c r="D1929" s="383" t="s">
        <v>371</v>
      </c>
      <c r="E1929" s="704"/>
      <c r="F1929" s="661"/>
      <c r="G1929" s="665"/>
      <c r="H1929" s="664">
        <f>SUM(H1930:H1932)</f>
        <v>860.1045630000001</v>
      </c>
      <c r="I1929" s="380">
        <v>4886.9399999999996</v>
      </c>
      <c r="J1929" s="631">
        <f t="shared" ref="J1929" si="502">IF(ISBLANK(I1929),"",SUM(H1929:I1929))</f>
        <v>5747.0445629999995</v>
      </c>
      <c r="K1929" s="593">
        <f t="shared" si="449"/>
        <v>7284.38</v>
      </c>
      <c r="L1929" s="594" t="s">
        <v>21</v>
      </c>
      <c r="M1929" s="30"/>
      <c r="N1929" s="30">
        <v>7284.38</v>
      </c>
      <c r="O1929" s="287">
        <f t="shared" si="429"/>
        <v>0</v>
      </c>
      <c r="P1929" s="287">
        <f t="shared" si="430"/>
        <v>0</v>
      </c>
      <c r="Q1929" s="288"/>
      <c r="S1929" s="378" t="str">
        <f t="shared" si="496"/>
        <v/>
      </c>
    </row>
    <row r="1930" spans="2:19" hidden="1" x14ac:dyDescent="0.2">
      <c r="B1930" s="730" t="s">
        <v>168</v>
      </c>
      <c r="C1930" s="300"/>
      <c r="D1930" s="383" t="s">
        <v>213</v>
      </c>
      <c r="E1930" s="704"/>
      <c r="F1930" s="661">
        <v>500</v>
      </c>
      <c r="G1930" s="665">
        <v>0.81569999999999998</v>
      </c>
      <c r="H1930" s="664">
        <f>IF(F1930&lt;=30,(0.75*F1930+6.29)*G1930,((0.75*30+6.29)+0.62*(F1930-30))*G1930)</f>
        <v>261.17898300000002</v>
      </c>
      <c r="I1930" s="380">
        <v>0</v>
      </c>
      <c r="J1930" s="631"/>
      <c r="K1930" s="593">
        <f t="shared" si="449"/>
        <v>0</v>
      </c>
      <c r="L1930" s="594"/>
      <c r="M1930" s="600"/>
      <c r="N1930" s="600">
        <v>0</v>
      </c>
      <c r="O1930" s="287">
        <f t="shared" si="429"/>
        <v>0</v>
      </c>
      <c r="P1930" s="287">
        <f t="shared" si="430"/>
        <v>0</v>
      </c>
      <c r="Q1930" s="288"/>
      <c r="R1930" s="311" t="str">
        <f>IF(P1929&gt;0,"xy","")</f>
        <v/>
      </c>
      <c r="S1930" s="378" t="str">
        <f t="shared" si="496"/>
        <v/>
      </c>
    </row>
    <row r="1931" spans="2:19" hidden="1" x14ac:dyDescent="0.2">
      <c r="B1931" s="730" t="s">
        <v>168</v>
      </c>
      <c r="C1931" s="300"/>
      <c r="D1931" s="383" t="s">
        <v>249</v>
      </c>
      <c r="E1931" s="704"/>
      <c r="F1931" s="661">
        <v>180</v>
      </c>
      <c r="G1931" s="665">
        <v>2.9003000000000001</v>
      </c>
      <c r="H1931" s="663">
        <f t="shared" ref="H1931" si="503">IF(F1931&lt;=30,(1.05*F1931+2.18)*G1931,((1.05*30+2.18)+0.87*(F1931-30))*G1931)</f>
        <v>476.17125400000003</v>
      </c>
      <c r="I1931" s="380">
        <v>0</v>
      </c>
      <c r="J1931" s="631"/>
      <c r="K1931" s="593">
        <f t="shared" si="449"/>
        <v>0</v>
      </c>
      <c r="L1931" s="594"/>
      <c r="M1931" s="600"/>
      <c r="N1931" s="600">
        <v>0</v>
      </c>
      <c r="O1931" s="287">
        <f t="shared" si="429"/>
        <v>0</v>
      </c>
      <c r="P1931" s="287">
        <f t="shared" si="430"/>
        <v>0</v>
      </c>
      <c r="Q1931" s="288"/>
      <c r="R1931" s="311" t="str">
        <f>IF(P1929&gt;0,"xy","")</f>
        <v/>
      </c>
      <c r="S1931" s="378" t="str">
        <f t="shared" si="496"/>
        <v/>
      </c>
    </row>
    <row r="1932" spans="2:19" hidden="1" x14ac:dyDescent="0.2">
      <c r="B1932" s="730" t="s">
        <v>168</v>
      </c>
      <c r="C1932" s="300"/>
      <c r="D1932" s="383" t="s">
        <v>253</v>
      </c>
      <c r="E1932" s="704"/>
      <c r="F1932" s="661">
        <v>20</v>
      </c>
      <c r="G1932" s="665">
        <v>5.2957000000000001</v>
      </c>
      <c r="H1932" s="663">
        <f>IF(F1932&lt;=30,(1.05*F1932+2.18)*G1932,((1.05*30+2.18)+0.87*(F1932-30))*G1932)</f>
        <v>122.75432600000001</v>
      </c>
      <c r="I1932" s="380">
        <v>0</v>
      </c>
      <c r="J1932" s="631"/>
      <c r="K1932" s="593">
        <f t="shared" si="449"/>
        <v>0</v>
      </c>
      <c r="L1932" s="594"/>
      <c r="M1932" s="600"/>
      <c r="N1932" s="600">
        <v>0</v>
      </c>
      <c r="O1932" s="287">
        <f t="shared" si="429"/>
        <v>0</v>
      </c>
      <c r="P1932" s="287">
        <f t="shared" si="430"/>
        <v>0</v>
      </c>
      <c r="Q1932" s="288"/>
      <c r="R1932" s="243" t="str">
        <f>IF(P1929&gt;0,"xy","")</f>
        <v/>
      </c>
      <c r="S1932" s="378" t="str">
        <f t="shared" si="496"/>
        <v/>
      </c>
    </row>
    <row r="1933" spans="2:19" hidden="1" x14ac:dyDescent="0.2">
      <c r="B1933" s="730">
        <v>621200</v>
      </c>
      <c r="C1933" s="300" t="s">
        <v>207</v>
      </c>
      <c r="D1933" s="383" t="s">
        <v>372</v>
      </c>
      <c r="E1933" s="704"/>
      <c r="F1933" s="661"/>
      <c r="G1933" s="665"/>
      <c r="H1933" s="664">
        <f>SUM(H1934:H1936)</f>
        <v>1114.9835699999999</v>
      </c>
      <c r="I1933" s="380">
        <v>6200.9599999999991</v>
      </c>
      <c r="J1933" s="631">
        <f t="shared" ref="J1933" si="504">IF(ISBLANK(I1933),"",SUM(H1933:I1933))</f>
        <v>7315.9435699999995</v>
      </c>
      <c r="K1933" s="593">
        <f t="shared" si="449"/>
        <v>9272.9599999999991</v>
      </c>
      <c r="L1933" s="594" t="s">
        <v>21</v>
      </c>
      <c r="M1933" s="30"/>
      <c r="N1933" s="30">
        <v>9272.9599999999991</v>
      </c>
      <c r="O1933" s="287">
        <f t="shared" si="429"/>
        <v>0</v>
      </c>
      <c r="P1933" s="287">
        <f t="shared" si="430"/>
        <v>0</v>
      </c>
      <c r="Q1933" s="288"/>
      <c r="S1933" s="378" t="str">
        <f t="shared" si="496"/>
        <v/>
      </c>
    </row>
    <row r="1934" spans="2:19" hidden="1" x14ac:dyDescent="0.2">
      <c r="B1934" s="730" t="s">
        <v>168</v>
      </c>
      <c r="C1934" s="300"/>
      <c r="D1934" s="383" t="s">
        <v>213</v>
      </c>
      <c r="E1934" s="704"/>
      <c r="F1934" s="661">
        <v>500</v>
      </c>
      <c r="G1934" s="665">
        <v>1.0573999999999999</v>
      </c>
      <c r="H1934" s="664">
        <f>IF(F1934&lt;=30,(0.75*F1934+6.29)*G1934,((0.75*30+6.29)+0.62*(F1934-30))*G1934)</f>
        <v>338.56890599999997</v>
      </c>
      <c r="I1934" s="380">
        <v>0</v>
      </c>
      <c r="J1934" s="631"/>
      <c r="K1934" s="593">
        <f t="shared" si="449"/>
        <v>0</v>
      </c>
      <c r="L1934" s="594"/>
      <c r="M1934" s="600"/>
      <c r="N1934" s="600">
        <v>0</v>
      </c>
      <c r="O1934" s="287">
        <f t="shared" si="429"/>
        <v>0</v>
      </c>
      <c r="P1934" s="287">
        <f t="shared" si="430"/>
        <v>0</v>
      </c>
      <c r="Q1934" s="288"/>
      <c r="R1934" s="311" t="str">
        <f>IF(P1933&gt;0,"xy","")</f>
        <v/>
      </c>
      <c r="S1934" s="378" t="str">
        <f t="shared" si="496"/>
        <v/>
      </c>
    </row>
    <row r="1935" spans="2:19" hidden="1" x14ac:dyDescent="0.2">
      <c r="B1935" s="730" t="s">
        <v>168</v>
      </c>
      <c r="C1935" s="300"/>
      <c r="D1935" s="383" t="s">
        <v>249</v>
      </c>
      <c r="E1935" s="704"/>
      <c r="F1935" s="661">
        <v>180</v>
      </c>
      <c r="G1935" s="665">
        <v>3.7597999999999998</v>
      </c>
      <c r="H1935" s="663">
        <f t="shared" ref="H1935" si="505">IF(F1935&lt;=30,(1.05*F1935+2.18)*G1935,((1.05*30+2.18)+0.87*(F1935-30))*G1935)</f>
        <v>617.28396399999997</v>
      </c>
      <c r="I1935" s="380">
        <v>0</v>
      </c>
      <c r="J1935" s="631"/>
      <c r="K1935" s="593">
        <f t="shared" si="449"/>
        <v>0</v>
      </c>
      <c r="L1935" s="594"/>
      <c r="M1935" s="600"/>
      <c r="N1935" s="600">
        <v>0</v>
      </c>
      <c r="O1935" s="287">
        <f t="shared" si="429"/>
        <v>0</v>
      </c>
      <c r="P1935" s="287">
        <f t="shared" si="430"/>
        <v>0</v>
      </c>
      <c r="Q1935" s="288"/>
      <c r="R1935" s="311" t="str">
        <f>IF(P1933&gt;0,"xy","")</f>
        <v/>
      </c>
      <c r="S1935" s="378" t="str">
        <f t="shared" si="496"/>
        <v/>
      </c>
    </row>
    <row r="1936" spans="2:19" hidden="1" x14ac:dyDescent="0.2">
      <c r="B1936" s="730" t="s">
        <v>168</v>
      </c>
      <c r="C1936" s="300"/>
      <c r="D1936" s="383" t="s">
        <v>253</v>
      </c>
      <c r="E1936" s="704"/>
      <c r="F1936" s="661">
        <v>20</v>
      </c>
      <c r="G1936" s="665">
        <v>6.8650000000000002</v>
      </c>
      <c r="H1936" s="663">
        <f>IF(F1936&lt;=30,(1.05*F1936+2.18)*G1936,((1.05*30+2.18)+0.87*(F1936-30))*G1936)</f>
        <v>159.13069999999999</v>
      </c>
      <c r="I1936" s="380">
        <v>0</v>
      </c>
      <c r="J1936" s="631"/>
      <c r="K1936" s="593">
        <f t="shared" si="449"/>
        <v>0</v>
      </c>
      <c r="L1936" s="594"/>
      <c r="M1936" s="600"/>
      <c r="N1936" s="600">
        <v>0</v>
      </c>
      <c r="O1936" s="287">
        <f t="shared" si="429"/>
        <v>0</v>
      </c>
      <c r="P1936" s="287">
        <f t="shared" si="430"/>
        <v>0</v>
      </c>
      <c r="Q1936" s="288"/>
      <c r="R1936" s="243" t="str">
        <f>IF(P1933&gt;0,"xy","")</f>
        <v/>
      </c>
      <c r="S1936" s="378" t="str">
        <f t="shared" si="496"/>
        <v/>
      </c>
    </row>
    <row r="1937" spans="2:19" hidden="1" x14ac:dyDescent="0.2">
      <c r="B1937" s="730">
        <v>621300</v>
      </c>
      <c r="C1937" s="300" t="s">
        <v>207</v>
      </c>
      <c r="D1937" s="383" t="s">
        <v>373</v>
      </c>
      <c r="E1937" s="704"/>
      <c r="F1937" s="661"/>
      <c r="G1937" s="665"/>
      <c r="H1937" s="664">
        <f>SUM(H1938:H1940)</f>
        <v>2166.4352760000002</v>
      </c>
      <c r="I1937" s="380">
        <v>10298.530000000001</v>
      </c>
      <c r="J1937" s="631">
        <f t="shared" ref="J1937" si="506">IF(ISBLANK(I1937),"",SUM(H1937:I1937))</f>
        <v>12464.965276000001</v>
      </c>
      <c r="K1937" s="593">
        <f t="shared" si="449"/>
        <v>15799.34</v>
      </c>
      <c r="L1937" s="594" t="s">
        <v>21</v>
      </c>
      <c r="M1937" s="30"/>
      <c r="N1937" s="30">
        <v>15799.34</v>
      </c>
      <c r="O1937" s="287">
        <f t="shared" si="429"/>
        <v>0</v>
      </c>
      <c r="P1937" s="287">
        <f t="shared" si="430"/>
        <v>0</v>
      </c>
      <c r="Q1937" s="288"/>
      <c r="S1937" s="378" t="str">
        <f t="shared" si="496"/>
        <v/>
      </c>
    </row>
    <row r="1938" spans="2:19" hidden="1" x14ac:dyDescent="0.2">
      <c r="B1938" s="730" t="s">
        <v>168</v>
      </c>
      <c r="C1938" s="300"/>
      <c r="D1938" s="383" t="s">
        <v>213</v>
      </c>
      <c r="E1938" s="704"/>
      <c r="F1938" s="661">
        <v>500</v>
      </c>
      <c r="G1938" s="665">
        <v>2.0546000000000002</v>
      </c>
      <c r="H1938" s="664">
        <f>IF(F1938&lt;=30,(0.75*F1938+6.29)*G1938,((0.75*30+6.29)+0.62*(F1938-30))*G1938)</f>
        <v>657.86237400000005</v>
      </c>
      <c r="I1938" s="380">
        <v>0</v>
      </c>
      <c r="J1938" s="631"/>
      <c r="K1938" s="593">
        <f t="shared" si="449"/>
        <v>0</v>
      </c>
      <c r="L1938" s="594"/>
      <c r="M1938" s="600"/>
      <c r="N1938" s="600">
        <v>0</v>
      </c>
      <c r="O1938" s="287">
        <f t="shared" si="429"/>
        <v>0</v>
      </c>
      <c r="P1938" s="287">
        <f t="shared" si="430"/>
        <v>0</v>
      </c>
      <c r="Q1938" s="288"/>
      <c r="R1938" s="311" t="str">
        <f>IF(P1937&gt;0,"xy","")</f>
        <v/>
      </c>
      <c r="S1938" s="378" t="str">
        <f t="shared" si="496"/>
        <v/>
      </c>
    </row>
    <row r="1939" spans="2:19" hidden="1" x14ac:dyDescent="0.2">
      <c r="B1939" s="730" t="s">
        <v>168</v>
      </c>
      <c r="C1939" s="300"/>
      <c r="D1939" s="383" t="s">
        <v>249</v>
      </c>
      <c r="E1939" s="704"/>
      <c r="F1939" s="661">
        <v>180</v>
      </c>
      <c r="G1939" s="665">
        <v>7.3052999999999999</v>
      </c>
      <c r="H1939" s="663">
        <f t="shared" ref="H1939" si="507">IF(F1939&lt;=30,(1.05*F1939+2.18)*G1939,((1.05*30+2.18)+0.87*(F1939-30))*G1939)</f>
        <v>1199.3841540000001</v>
      </c>
      <c r="I1939" s="380">
        <v>0</v>
      </c>
      <c r="J1939" s="631"/>
      <c r="K1939" s="593">
        <f t="shared" si="449"/>
        <v>0</v>
      </c>
      <c r="L1939" s="594"/>
      <c r="M1939" s="600"/>
      <c r="N1939" s="600">
        <v>0</v>
      </c>
      <c r="O1939" s="287">
        <f t="shared" si="429"/>
        <v>0</v>
      </c>
      <c r="P1939" s="287">
        <f t="shared" si="430"/>
        <v>0</v>
      </c>
      <c r="Q1939" s="288"/>
      <c r="R1939" s="311" t="str">
        <f>IF(P1937&gt;0,"xy","")</f>
        <v/>
      </c>
      <c r="S1939" s="378" t="str">
        <f t="shared" si="496"/>
        <v/>
      </c>
    </row>
    <row r="1940" spans="2:19" hidden="1" x14ac:dyDescent="0.2">
      <c r="B1940" s="730" t="s">
        <v>168</v>
      </c>
      <c r="C1940" s="300"/>
      <c r="D1940" s="383" t="s">
        <v>253</v>
      </c>
      <c r="E1940" s="704"/>
      <c r="F1940" s="661">
        <v>20</v>
      </c>
      <c r="G1940" s="665">
        <v>13.3386</v>
      </c>
      <c r="H1940" s="663">
        <f>IF(F1940&lt;=30,(1.05*F1940+2.18)*G1940,((1.05*30+2.18)+0.87*(F1940-30))*G1940)</f>
        <v>309.18874799999998</v>
      </c>
      <c r="I1940" s="380">
        <v>0</v>
      </c>
      <c r="J1940" s="631"/>
      <c r="K1940" s="593">
        <f t="shared" si="449"/>
        <v>0</v>
      </c>
      <c r="L1940" s="594"/>
      <c r="M1940" s="600"/>
      <c r="N1940" s="600">
        <v>0</v>
      </c>
      <c r="O1940" s="287">
        <f t="shared" si="429"/>
        <v>0</v>
      </c>
      <c r="P1940" s="287">
        <f t="shared" si="430"/>
        <v>0</v>
      </c>
      <c r="Q1940" s="288"/>
      <c r="R1940" s="243" t="str">
        <f>IF(P1937&gt;0,"xy","")</f>
        <v/>
      </c>
      <c r="S1940" s="378" t="str">
        <f t="shared" si="496"/>
        <v/>
      </c>
    </row>
    <row r="1941" spans="2:19" hidden="1" x14ac:dyDescent="0.2">
      <c r="B1941" s="730">
        <v>621400</v>
      </c>
      <c r="C1941" s="300" t="s">
        <v>207</v>
      </c>
      <c r="D1941" s="383" t="s">
        <v>374</v>
      </c>
      <c r="E1941" s="704"/>
      <c r="F1941" s="661"/>
      <c r="G1941" s="665"/>
      <c r="H1941" s="664">
        <f>SUM(H1942:H1944)</f>
        <v>4131.1814169999998</v>
      </c>
      <c r="I1941" s="380">
        <v>17604.45</v>
      </c>
      <c r="J1941" s="631">
        <f t="shared" ref="J1941" si="508">IF(ISBLANK(I1941),"",SUM(H1941:I1941))</f>
        <v>21735.631417000001</v>
      </c>
      <c r="K1941" s="593">
        <f t="shared" si="449"/>
        <v>27549.91</v>
      </c>
      <c r="L1941" s="594" t="s">
        <v>21</v>
      </c>
      <c r="M1941" s="30"/>
      <c r="N1941" s="30">
        <v>27549.91</v>
      </c>
      <c r="O1941" s="287">
        <f t="shared" si="429"/>
        <v>0</v>
      </c>
      <c r="P1941" s="287">
        <f t="shared" si="430"/>
        <v>0</v>
      </c>
      <c r="Q1941" s="288"/>
      <c r="S1941" s="378" t="str">
        <f t="shared" si="496"/>
        <v/>
      </c>
    </row>
    <row r="1942" spans="2:19" hidden="1" x14ac:dyDescent="0.2">
      <c r="B1942" s="730" t="s">
        <v>168</v>
      </c>
      <c r="C1942" s="300"/>
      <c r="D1942" s="383" t="s">
        <v>213</v>
      </c>
      <c r="E1942" s="704"/>
      <c r="F1942" s="661">
        <v>500</v>
      </c>
      <c r="G1942" s="665">
        <v>3.9178999999999999</v>
      </c>
      <c r="H1942" s="664">
        <f>IF(F1942&lt;=30,(0.75*F1942+6.29)*G1942,((0.75*30+6.29)+0.62*(F1942-30))*G1942)</f>
        <v>1254.472401</v>
      </c>
      <c r="I1942" s="380"/>
      <c r="J1942" s="631"/>
      <c r="K1942" s="593">
        <f t="shared" si="449"/>
        <v>0</v>
      </c>
      <c r="L1942" s="594"/>
      <c r="M1942" s="600"/>
      <c r="N1942" s="600">
        <v>0</v>
      </c>
      <c r="O1942" s="287">
        <f t="shared" si="429"/>
        <v>0</v>
      </c>
      <c r="P1942" s="287">
        <f t="shared" si="430"/>
        <v>0</v>
      </c>
      <c r="Q1942" s="288"/>
      <c r="R1942" s="311" t="str">
        <f>IF(P1941&gt;0,"xy","")</f>
        <v/>
      </c>
      <c r="S1942" s="378" t="str">
        <f t="shared" si="496"/>
        <v/>
      </c>
    </row>
    <row r="1943" spans="2:19" hidden="1" x14ac:dyDescent="0.2">
      <c r="B1943" s="730" t="s">
        <v>168</v>
      </c>
      <c r="C1943" s="300"/>
      <c r="D1943" s="383" t="s">
        <v>249</v>
      </c>
      <c r="E1943" s="704"/>
      <c r="F1943" s="661">
        <v>180</v>
      </c>
      <c r="G1943" s="665">
        <v>13.9305</v>
      </c>
      <c r="H1943" s="663">
        <f t="shared" ref="H1943" si="509">IF(F1943&lt;=30,(1.05*F1943+2.18)*G1943,((1.05*30+2.18)+0.87*(F1943-30))*G1943)</f>
        <v>2287.1094900000003</v>
      </c>
      <c r="I1943" s="380"/>
      <c r="J1943" s="631"/>
      <c r="K1943" s="593">
        <f t="shared" si="449"/>
        <v>0</v>
      </c>
      <c r="L1943" s="594"/>
      <c r="M1943" s="600"/>
      <c r="N1943" s="600">
        <v>0</v>
      </c>
      <c r="O1943" s="287">
        <f t="shared" si="429"/>
        <v>0</v>
      </c>
      <c r="P1943" s="287">
        <f t="shared" si="430"/>
        <v>0</v>
      </c>
      <c r="Q1943" s="288"/>
      <c r="R1943" s="311" t="str">
        <f>IF(P1941&gt;0,"xy","")</f>
        <v/>
      </c>
      <c r="S1943" s="378" t="str">
        <f t="shared" si="496"/>
        <v/>
      </c>
    </row>
    <row r="1944" spans="2:19" hidden="1" x14ac:dyDescent="0.2">
      <c r="B1944" s="730" t="s">
        <v>168</v>
      </c>
      <c r="C1944" s="300"/>
      <c r="D1944" s="383" t="s">
        <v>253</v>
      </c>
      <c r="E1944" s="704"/>
      <c r="F1944" s="661">
        <v>20</v>
      </c>
      <c r="G1944" s="665">
        <v>25.435699999999997</v>
      </c>
      <c r="H1944" s="663">
        <f>IF(F1944&lt;=30,(1.05*F1944+2.18)*G1944,((1.05*30+2.18)+0.87*(F1944-30))*G1944)</f>
        <v>589.59952599999997</v>
      </c>
      <c r="I1944" s="380"/>
      <c r="J1944" s="631"/>
      <c r="K1944" s="593">
        <f t="shared" si="449"/>
        <v>0</v>
      </c>
      <c r="L1944" s="594"/>
      <c r="M1944" s="600"/>
      <c r="N1944" s="600">
        <v>0</v>
      </c>
      <c r="O1944" s="287">
        <f t="shared" si="429"/>
        <v>0</v>
      </c>
      <c r="P1944" s="287">
        <f t="shared" si="430"/>
        <v>0</v>
      </c>
      <c r="Q1944" s="288"/>
      <c r="R1944" s="243" t="str">
        <f>IF(P1941&gt;0,"xy","")</f>
        <v/>
      </c>
      <c r="S1944" s="378" t="str">
        <f t="shared" si="496"/>
        <v/>
      </c>
    </row>
    <row r="1945" spans="2:19" hidden="1" x14ac:dyDescent="0.2">
      <c r="B1945" s="730">
        <v>607500</v>
      </c>
      <c r="C1945" s="300" t="s">
        <v>207</v>
      </c>
      <c r="D1945" s="383" t="s">
        <v>520</v>
      </c>
      <c r="E1945" s="704"/>
      <c r="F1945" s="661"/>
      <c r="G1945" s="665"/>
      <c r="H1945" s="664">
        <f>SUM(H1946:H1948)</f>
        <v>1.700291</v>
      </c>
      <c r="I1945" s="380">
        <v>36.86</v>
      </c>
      <c r="J1945" s="631">
        <f t="shared" ref="J1945" si="510">IF(ISBLANK(I1945),"",SUM(H1945:I1945))</f>
        <v>38.560290999999999</v>
      </c>
      <c r="K1945" s="593">
        <f t="shared" si="449"/>
        <v>48.88</v>
      </c>
      <c r="L1945" s="594" t="s">
        <v>19</v>
      </c>
      <c r="M1945" s="30"/>
      <c r="N1945" s="30">
        <v>48.88</v>
      </c>
      <c r="O1945" s="287">
        <f t="shared" si="429"/>
        <v>0</v>
      </c>
      <c r="P1945" s="287">
        <f t="shared" si="430"/>
        <v>0</v>
      </c>
      <c r="Q1945" s="288"/>
      <c r="S1945" s="378" t="str">
        <f t="shared" si="496"/>
        <v/>
      </c>
    </row>
    <row r="1946" spans="2:19" hidden="1" x14ac:dyDescent="0.2">
      <c r="B1946" s="730" t="s">
        <v>168</v>
      </c>
      <c r="C1946" s="300"/>
      <c r="D1946" s="383" t="s">
        <v>213</v>
      </c>
      <c r="E1946" s="704"/>
      <c r="F1946" s="661">
        <v>500</v>
      </c>
      <c r="G1946" s="665">
        <v>2.9999999999999997E-4</v>
      </c>
      <c r="H1946" s="664">
        <f>IF(F1946&lt;=30,(0.75*F1946+6.29)*G1946,((0.75*30+6.29)+0.62*(F1946-30))*G1946)</f>
        <v>9.605699999999999E-2</v>
      </c>
      <c r="I1946" s="380"/>
      <c r="J1946" s="631"/>
      <c r="K1946" s="593">
        <f t="shared" si="449"/>
        <v>0</v>
      </c>
      <c r="L1946" s="594"/>
      <c r="M1946" s="600"/>
      <c r="N1946" s="600">
        <v>0</v>
      </c>
      <c r="O1946" s="287">
        <f t="shared" si="429"/>
        <v>0</v>
      </c>
      <c r="P1946" s="287">
        <f t="shared" si="430"/>
        <v>0</v>
      </c>
      <c r="Q1946" s="288"/>
      <c r="R1946" s="311" t="str">
        <f>IF(P1945&gt;0,"xy","")</f>
        <v/>
      </c>
      <c r="S1946" s="378" t="str">
        <f t="shared" si="496"/>
        <v/>
      </c>
    </row>
    <row r="1947" spans="2:19" hidden="1" x14ac:dyDescent="0.2">
      <c r="B1947" s="730" t="s">
        <v>168</v>
      </c>
      <c r="C1947" s="300"/>
      <c r="D1947" s="383" t="s">
        <v>249</v>
      </c>
      <c r="E1947" s="704"/>
      <c r="F1947" s="661">
        <v>180</v>
      </c>
      <c r="G1947" s="665">
        <v>1.2999999999999999E-3</v>
      </c>
      <c r="H1947" s="663">
        <f t="shared" ref="H1947" si="511">IF(F1947&lt;=30,(1.05*F1947+2.18)*G1947,((1.05*30+2.18)+0.87*(F1947-30))*G1947)</f>
        <v>0.21343400000000001</v>
      </c>
      <c r="I1947" s="380"/>
      <c r="J1947" s="631"/>
      <c r="K1947" s="593">
        <f t="shared" si="449"/>
        <v>0</v>
      </c>
      <c r="L1947" s="594"/>
      <c r="M1947" s="600"/>
      <c r="N1947" s="600">
        <v>0</v>
      </c>
      <c r="O1947" s="287">
        <f t="shared" si="429"/>
        <v>0</v>
      </c>
      <c r="P1947" s="287">
        <f t="shared" si="430"/>
        <v>0</v>
      </c>
      <c r="Q1947" s="288"/>
      <c r="R1947" s="311" t="str">
        <f>IF(P1945&gt;0,"xy","")</f>
        <v/>
      </c>
      <c r="S1947" s="378" t="str">
        <f t="shared" si="496"/>
        <v/>
      </c>
    </row>
    <row r="1948" spans="2:19" hidden="1" x14ac:dyDescent="0.2">
      <c r="B1948" s="730" t="s">
        <v>168</v>
      </c>
      <c r="C1948" s="300"/>
      <c r="D1948" s="383" t="s">
        <v>349</v>
      </c>
      <c r="E1948" s="704"/>
      <c r="F1948" s="661">
        <v>20</v>
      </c>
      <c r="G1948" s="665">
        <v>0.06</v>
      </c>
      <c r="H1948" s="663">
        <f>IF(F1948&lt;=30,(1.05*F1948+2.18)*G1948,((1.05*30+2.18)+0.87*(F1948-30))*G1948)</f>
        <v>1.3908</v>
      </c>
      <c r="I1948" s="380"/>
      <c r="J1948" s="631"/>
      <c r="K1948" s="593">
        <f t="shared" si="449"/>
        <v>0</v>
      </c>
      <c r="L1948" s="594"/>
      <c r="M1948" s="600"/>
      <c r="N1948" s="600">
        <v>0</v>
      </c>
      <c r="O1948" s="287">
        <f t="shared" si="429"/>
        <v>0</v>
      </c>
      <c r="P1948" s="287">
        <f t="shared" si="430"/>
        <v>0</v>
      </c>
      <c r="Q1948" s="288"/>
      <c r="R1948" s="243" t="str">
        <f>IF(P1945&gt;0,"xy","")</f>
        <v/>
      </c>
      <c r="S1948" s="378" t="str">
        <f t="shared" si="496"/>
        <v/>
      </c>
    </row>
    <row r="1949" spans="2:19" hidden="1" x14ac:dyDescent="0.2">
      <c r="B1949" s="730">
        <v>607600</v>
      </c>
      <c r="C1949" s="300" t="s">
        <v>207</v>
      </c>
      <c r="D1949" s="383" t="s">
        <v>521</v>
      </c>
      <c r="E1949" s="704"/>
      <c r="F1949" s="661"/>
      <c r="G1949" s="665"/>
      <c r="H1949" s="664">
        <f>SUM(H1950:H1952)</f>
        <v>2.7048960000000002</v>
      </c>
      <c r="I1949" s="380">
        <v>48.78</v>
      </c>
      <c r="J1949" s="631">
        <f t="shared" ref="J1949" si="512">IF(ISBLANK(I1949),"",SUM(H1949:I1949))</f>
        <v>51.484895999999999</v>
      </c>
      <c r="K1949" s="593">
        <f t="shared" si="449"/>
        <v>65.260000000000005</v>
      </c>
      <c r="L1949" s="594" t="s">
        <v>19</v>
      </c>
      <c r="M1949" s="30"/>
      <c r="N1949" s="30">
        <v>65.260000000000005</v>
      </c>
      <c r="O1949" s="287">
        <f t="shared" si="429"/>
        <v>0</v>
      </c>
      <c r="P1949" s="287">
        <f t="shared" si="430"/>
        <v>0</v>
      </c>
      <c r="Q1949" s="288"/>
      <c r="S1949" s="378" t="str">
        <f t="shared" si="496"/>
        <v/>
      </c>
    </row>
    <row r="1950" spans="2:19" hidden="1" x14ac:dyDescent="0.2">
      <c r="B1950" s="730" t="s">
        <v>168</v>
      </c>
      <c r="C1950" s="300"/>
      <c r="D1950" s="383" t="s">
        <v>213</v>
      </c>
      <c r="E1950" s="704"/>
      <c r="F1950" s="661">
        <v>500</v>
      </c>
      <c r="G1950" s="665">
        <v>4.0000000000000002E-4</v>
      </c>
      <c r="H1950" s="664">
        <f>IF(F1950&lt;=30,(0.75*F1950+6.29)*G1950,((0.75*30+6.29)+0.62*(F1950-30))*G1950)</f>
        <v>0.128076</v>
      </c>
      <c r="I1950" s="380"/>
      <c r="J1950" s="631"/>
      <c r="K1950" s="593">
        <f t="shared" si="449"/>
        <v>0</v>
      </c>
      <c r="L1950" s="594"/>
      <c r="M1950" s="600"/>
      <c r="N1950" s="600">
        <v>0</v>
      </c>
      <c r="O1950" s="287">
        <f t="shared" si="429"/>
        <v>0</v>
      </c>
      <c r="P1950" s="287">
        <f t="shared" si="430"/>
        <v>0</v>
      </c>
      <c r="Q1950" s="288"/>
      <c r="R1950" s="311" t="str">
        <f>IF(P1949&gt;0,"xy","")</f>
        <v/>
      </c>
      <c r="S1950" s="378" t="str">
        <f t="shared" si="496"/>
        <v/>
      </c>
    </row>
    <row r="1951" spans="2:19" hidden="1" x14ac:dyDescent="0.2">
      <c r="B1951" s="730" t="s">
        <v>168</v>
      </c>
      <c r="C1951" s="300"/>
      <c r="D1951" s="383" t="s">
        <v>249</v>
      </c>
      <c r="E1951" s="704"/>
      <c r="F1951" s="661">
        <v>180</v>
      </c>
      <c r="G1951" s="665">
        <v>2E-3</v>
      </c>
      <c r="H1951" s="663">
        <f t="shared" ref="H1951" si="513">IF(F1951&lt;=30,(1.05*F1951+2.18)*G1951,((1.05*30+2.18)+0.87*(F1951-30))*G1951)</f>
        <v>0.32836000000000004</v>
      </c>
      <c r="I1951" s="380"/>
      <c r="J1951" s="631"/>
      <c r="K1951" s="593">
        <f t="shared" si="449"/>
        <v>0</v>
      </c>
      <c r="L1951" s="594"/>
      <c r="M1951" s="600"/>
      <c r="N1951" s="600">
        <v>0</v>
      </c>
      <c r="O1951" s="287">
        <f t="shared" si="429"/>
        <v>0</v>
      </c>
      <c r="P1951" s="287">
        <f t="shared" si="430"/>
        <v>0</v>
      </c>
      <c r="Q1951" s="288"/>
      <c r="R1951" s="311" t="str">
        <f>IF(P1949&gt;0,"xy","")</f>
        <v/>
      </c>
      <c r="S1951" s="378" t="str">
        <f t="shared" si="496"/>
        <v/>
      </c>
    </row>
    <row r="1952" spans="2:19" hidden="1" x14ac:dyDescent="0.2">
      <c r="B1952" s="730" t="s">
        <v>168</v>
      </c>
      <c r="C1952" s="300"/>
      <c r="D1952" s="383" t="s">
        <v>349</v>
      </c>
      <c r="E1952" s="704"/>
      <c r="F1952" s="661">
        <v>20</v>
      </c>
      <c r="G1952" s="665">
        <v>9.7000000000000003E-2</v>
      </c>
      <c r="H1952" s="663">
        <f>IF(F1952&lt;=30,(1.05*F1952+2.18)*G1952,((1.05*30+2.18)+0.87*(F1952-30))*G1952)</f>
        <v>2.2484600000000001</v>
      </c>
      <c r="I1952" s="380"/>
      <c r="J1952" s="631"/>
      <c r="K1952" s="593">
        <f t="shared" si="449"/>
        <v>0</v>
      </c>
      <c r="L1952" s="594"/>
      <c r="M1952" s="600"/>
      <c r="N1952" s="600">
        <v>0</v>
      </c>
      <c r="O1952" s="287">
        <f t="shared" si="429"/>
        <v>0</v>
      </c>
      <c r="P1952" s="287">
        <f t="shared" si="430"/>
        <v>0</v>
      </c>
      <c r="Q1952" s="288"/>
      <c r="R1952" s="243" t="str">
        <f>IF(P1949&gt;0,"xy","")</f>
        <v/>
      </c>
      <c r="S1952" s="378" t="str">
        <f t="shared" si="496"/>
        <v/>
      </c>
    </row>
    <row r="1953" spans="2:19" hidden="1" x14ac:dyDescent="0.2">
      <c r="B1953" s="730" t="s">
        <v>1863</v>
      </c>
      <c r="C1953" s="300" t="s">
        <v>207</v>
      </c>
      <c r="D1953" s="383" t="s">
        <v>375</v>
      </c>
      <c r="E1953" s="704"/>
      <c r="F1953" s="661"/>
      <c r="G1953" s="665"/>
      <c r="H1953" s="664">
        <f>SUM(H1954:H1956)</f>
        <v>4.7999609999999997</v>
      </c>
      <c r="I1953" s="380">
        <v>75.459999999999994</v>
      </c>
      <c r="J1953" s="631">
        <f t="shared" ref="J1953" si="514">IF(ISBLANK(I1953),"",SUM(H1953:I1953))</f>
        <v>80.25996099999999</v>
      </c>
      <c r="K1953" s="593">
        <f t="shared" si="449"/>
        <v>101.73</v>
      </c>
      <c r="L1953" s="594" t="s">
        <v>19</v>
      </c>
      <c r="M1953" s="30"/>
      <c r="N1953" s="30">
        <v>101.73</v>
      </c>
      <c r="O1953" s="287">
        <f t="shared" si="429"/>
        <v>0</v>
      </c>
      <c r="P1953" s="287">
        <f t="shared" si="430"/>
        <v>0</v>
      </c>
      <c r="Q1953" s="288"/>
      <c r="S1953" s="378" t="str">
        <f t="shared" si="496"/>
        <v/>
      </c>
    </row>
    <row r="1954" spans="2:19" hidden="1" x14ac:dyDescent="0.2">
      <c r="B1954" s="730" t="s">
        <v>168</v>
      </c>
      <c r="C1954" s="300"/>
      <c r="D1954" s="383" t="s">
        <v>213</v>
      </c>
      <c r="E1954" s="704"/>
      <c r="F1954" s="661">
        <v>500</v>
      </c>
      <c r="G1954" s="665">
        <v>1.9E-3</v>
      </c>
      <c r="H1954" s="664">
        <f>IF(F1954&lt;=30,(0.75*F1954+6.29)*G1954,((0.75*30+6.29)+0.62*(F1954-30))*G1954)</f>
        <v>0.60836100000000004</v>
      </c>
      <c r="I1954" s="380"/>
      <c r="J1954" s="631"/>
      <c r="K1954" s="593">
        <f t="shared" si="449"/>
        <v>0</v>
      </c>
      <c r="L1954" s="594"/>
      <c r="M1954" s="600"/>
      <c r="N1954" s="600">
        <v>0</v>
      </c>
      <c r="O1954" s="287">
        <f t="shared" si="429"/>
        <v>0</v>
      </c>
      <c r="P1954" s="287">
        <f t="shared" si="430"/>
        <v>0</v>
      </c>
      <c r="Q1954" s="288"/>
      <c r="R1954" s="311" t="str">
        <f>IF(P1953&gt;0,"xy","")</f>
        <v/>
      </c>
      <c r="S1954" s="378" t="str">
        <f t="shared" si="496"/>
        <v/>
      </c>
    </row>
    <row r="1955" spans="2:19" hidden="1" x14ac:dyDescent="0.2">
      <c r="B1955" s="730" t="s">
        <v>168</v>
      </c>
      <c r="C1955" s="300"/>
      <c r="D1955" s="383" t="s">
        <v>249</v>
      </c>
      <c r="E1955" s="704"/>
      <c r="F1955" s="661">
        <v>180</v>
      </c>
      <c r="G1955" s="665">
        <v>0.01</v>
      </c>
      <c r="H1955" s="663">
        <f t="shared" ref="H1955" si="515">IF(F1955&lt;=30,(1.05*F1955+2.18)*G1955,((1.05*30+2.18)+0.87*(F1955-30))*G1955)</f>
        <v>1.6418000000000001</v>
      </c>
      <c r="I1955" s="380"/>
      <c r="J1955" s="631"/>
      <c r="K1955" s="593">
        <f t="shared" si="449"/>
        <v>0</v>
      </c>
      <c r="L1955" s="594"/>
      <c r="M1955" s="600"/>
      <c r="N1955" s="600">
        <v>0</v>
      </c>
      <c r="O1955" s="287">
        <f t="shared" si="429"/>
        <v>0</v>
      </c>
      <c r="P1955" s="287">
        <f t="shared" si="430"/>
        <v>0</v>
      </c>
      <c r="Q1955" s="288"/>
      <c r="R1955" s="311" t="str">
        <f>IF(P1953&gt;0,"xy","")</f>
        <v/>
      </c>
      <c r="S1955" s="378" t="str">
        <f t="shared" si="496"/>
        <v/>
      </c>
    </row>
    <row r="1956" spans="2:19" hidden="1" x14ac:dyDescent="0.2">
      <c r="B1956" s="730" t="s">
        <v>168</v>
      </c>
      <c r="C1956" s="300"/>
      <c r="D1956" s="383" t="s">
        <v>349</v>
      </c>
      <c r="E1956" s="704"/>
      <c r="F1956" s="661">
        <v>20</v>
      </c>
      <c r="G1956" s="665">
        <v>0.11</v>
      </c>
      <c r="H1956" s="663">
        <f>IF(F1956&lt;=30,(1.05*F1956+2.18)*G1956,((1.05*30+2.18)+0.87*(F1956-30))*G1956)</f>
        <v>2.5497999999999998</v>
      </c>
      <c r="I1956" s="380"/>
      <c r="J1956" s="631"/>
      <c r="K1956" s="593">
        <f t="shared" si="449"/>
        <v>0</v>
      </c>
      <c r="L1956" s="594"/>
      <c r="M1956" s="600"/>
      <c r="N1956" s="600">
        <v>0</v>
      </c>
      <c r="O1956" s="287">
        <f t="shared" si="429"/>
        <v>0</v>
      </c>
      <c r="P1956" s="287">
        <f t="shared" si="430"/>
        <v>0</v>
      </c>
      <c r="Q1956" s="288"/>
      <c r="R1956" s="243" t="str">
        <f>IF(P1953&gt;0,"xy","")</f>
        <v/>
      </c>
      <c r="S1956" s="378" t="str">
        <f t="shared" si="496"/>
        <v/>
      </c>
    </row>
    <row r="1957" spans="2:19" hidden="1" x14ac:dyDescent="0.2">
      <c r="B1957" s="730" t="s">
        <v>1864</v>
      </c>
      <c r="C1957" s="300" t="s">
        <v>207</v>
      </c>
      <c r="D1957" s="383" t="s">
        <v>522</v>
      </c>
      <c r="E1957" s="704"/>
      <c r="F1957" s="661"/>
      <c r="G1957" s="665"/>
      <c r="H1957" s="664">
        <f>SUM(H1958:H1960)</f>
        <v>8.4523429999999991</v>
      </c>
      <c r="I1957" s="380">
        <v>101.405</v>
      </c>
      <c r="J1957" s="631">
        <f t="shared" ref="J1957" si="516">IF(ISBLANK(I1957),"",SUM(H1957:I1957))</f>
        <v>109.857343</v>
      </c>
      <c r="K1957" s="593">
        <f t="shared" si="449"/>
        <v>139.24</v>
      </c>
      <c r="L1957" s="594" t="s">
        <v>19</v>
      </c>
      <c r="M1957" s="30"/>
      <c r="N1957" s="30">
        <v>139.24</v>
      </c>
      <c r="O1957" s="287">
        <f t="shared" si="429"/>
        <v>0</v>
      </c>
      <c r="P1957" s="287">
        <f t="shared" si="430"/>
        <v>0</v>
      </c>
      <c r="Q1957" s="288"/>
      <c r="S1957" s="378" t="str">
        <f t="shared" si="496"/>
        <v/>
      </c>
    </row>
    <row r="1958" spans="2:19" hidden="1" x14ac:dyDescent="0.2">
      <c r="B1958" s="730" t="s">
        <v>168</v>
      </c>
      <c r="C1958" s="300"/>
      <c r="D1958" s="383" t="s">
        <v>213</v>
      </c>
      <c r="E1958" s="704"/>
      <c r="F1958" s="661">
        <v>500</v>
      </c>
      <c r="G1958" s="665">
        <v>2.3E-3</v>
      </c>
      <c r="H1958" s="664">
        <f>IF(F1958&lt;=30,(0.75*F1958+6.29)*G1958,((0.75*30+6.29)+0.62*(F1958-30))*G1958)</f>
        <v>0.73643700000000001</v>
      </c>
      <c r="I1958" s="380"/>
      <c r="J1958" s="631"/>
      <c r="K1958" s="593">
        <f t="shared" si="449"/>
        <v>0</v>
      </c>
      <c r="L1958" s="594"/>
      <c r="M1958" s="600"/>
      <c r="N1958" s="600">
        <v>0</v>
      </c>
      <c r="O1958" s="287">
        <f t="shared" si="429"/>
        <v>0</v>
      </c>
      <c r="P1958" s="287">
        <f t="shared" si="430"/>
        <v>0</v>
      </c>
      <c r="Q1958" s="288"/>
      <c r="R1958" s="311" t="str">
        <f>IF(P1957&gt;0,"xy","")</f>
        <v/>
      </c>
      <c r="S1958" s="378" t="str">
        <f t="shared" si="496"/>
        <v/>
      </c>
    </row>
    <row r="1959" spans="2:19" hidden="1" x14ac:dyDescent="0.2">
      <c r="B1959" s="730" t="s">
        <v>168</v>
      </c>
      <c r="C1959" s="300"/>
      <c r="D1959" s="383" t="s">
        <v>249</v>
      </c>
      <c r="E1959" s="704"/>
      <c r="F1959" s="661">
        <v>180</v>
      </c>
      <c r="G1959" s="665">
        <v>1.17E-2</v>
      </c>
      <c r="H1959" s="663">
        <f t="shared" ref="H1959" si="517">IF(F1959&lt;=30,(1.05*F1959+2.18)*G1959,((1.05*30+2.18)+0.87*(F1959-30))*G1959)</f>
        <v>1.9209060000000002</v>
      </c>
      <c r="I1959" s="380"/>
      <c r="J1959" s="631"/>
      <c r="K1959" s="593">
        <f t="shared" si="449"/>
        <v>0</v>
      </c>
      <c r="L1959" s="594"/>
      <c r="M1959" s="600"/>
      <c r="N1959" s="600">
        <v>0</v>
      </c>
      <c r="O1959" s="287">
        <f t="shared" si="429"/>
        <v>0</v>
      </c>
      <c r="P1959" s="287">
        <f t="shared" si="430"/>
        <v>0</v>
      </c>
      <c r="Q1959" s="288"/>
      <c r="R1959" s="311" t="str">
        <f>IF(P1957&gt;0,"xy","")</f>
        <v/>
      </c>
      <c r="S1959" s="378" t="str">
        <f t="shared" si="496"/>
        <v/>
      </c>
    </row>
    <row r="1960" spans="2:19" hidden="1" x14ac:dyDescent="0.2">
      <c r="B1960" s="730" t="s">
        <v>168</v>
      </c>
      <c r="C1960" s="300"/>
      <c r="D1960" s="383" t="s">
        <v>349</v>
      </c>
      <c r="E1960" s="704"/>
      <c r="F1960" s="661">
        <v>20</v>
      </c>
      <c r="G1960" s="665">
        <v>0.25</v>
      </c>
      <c r="H1960" s="663">
        <f>IF(F1960&lt;=30,(1.05*F1960+2.18)*G1960,((1.05*30+2.18)+0.87*(F1960-30))*G1960)</f>
        <v>5.7949999999999999</v>
      </c>
      <c r="I1960" s="380"/>
      <c r="J1960" s="631"/>
      <c r="K1960" s="593">
        <f t="shared" si="449"/>
        <v>0</v>
      </c>
      <c r="L1960" s="594"/>
      <c r="M1960" s="600"/>
      <c r="N1960" s="600">
        <v>0</v>
      </c>
      <c r="O1960" s="287">
        <f t="shared" si="429"/>
        <v>0</v>
      </c>
      <c r="P1960" s="287">
        <f t="shared" si="430"/>
        <v>0</v>
      </c>
      <c r="Q1960" s="288"/>
      <c r="R1960" s="243" t="str">
        <f>IF(P1957&gt;0,"xy","")</f>
        <v/>
      </c>
      <c r="S1960" s="378" t="str">
        <f t="shared" si="496"/>
        <v/>
      </c>
    </row>
    <row r="1961" spans="2:19" hidden="1" x14ac:dyDescent="0.2">
      <c r="B1961" s="730" t="s">
        <v>1867</v>
      </c>
      <c r="C1961" s="300" t="s">
        <v>207</v>
      </c>
      <c r="D1961" s="383" t="s">
        <v>376</v>
      </c>
      <c r="E1961" s="704"/>
      <c r="F1961" s="661"/>
      <c r="G1961" s="665"/>
      <c r="H1961" s="664">
        <f>SUM(H1962:H1964)</f>
        <v>12.072706</v>
      </c>
      <c r="I1961" s="380">
        <v>127.35000000000001</v>
      </c>
      <c r="J1961" s="631">
        <f t="shared" ref="J1961" si="518">IF(ISBLANK(I1961),"",SUM(H1961:I1961))</f>
        <v>139.42270600000001</v>
      </c>
      <c r="K1961" s="593">
        <f t="shared" si="449"/>
        <v>176.72</v>
      </c>
      <c r="L1961" s="594" t="s">
        <v>19</v>
      </c>
      <c r="M1961" s="30"/>
      <c r="N1961" s="30">
        <v>176.72</v>
      </c>
      <c r="O1961" s="287">
        <f t="shared" si="429"/>
        <v>0</v>
      </c>
      <c r="P1961" s="287">
        <f t="shared" si="430"/>
        <v>0</v>
      </c>
      <c r="Q1961" s="288"/>
      <c r="S1961" s="378" t="str">
        <f t="shared" si="496"/>
        <v/>
      </c>
    </row>
    <row r="1962" spans="2:19" hidden="1" x14ac:dyDescent="0.2">
      <c r="B1962" s="730" t="s">
        <v>168</v>
      </c>
      <c r="C1962" s="300"/>
      <c r="D1962" s="383" t="s">
        <v>213</v>
      </c>
      <c r="E1962" s="704"/>
      <c r="F1962" s="661">
        <v>500</v>
      </c>
      <c r="G1962" s="665">
        <v>2.5999999999999999E-3</v>
      </c>
      <c r="H1962" s="664">
        <f>IF(F1962&lt;=30,(0.75*F1962+6.29)*G1962,((0.75*30+6.29)+0.62*(F1962-30))*G1962)</f>
        <v>0.83249399999999996</v>
      </c>
      <c r="I1962" s="380"/>
      <c r="J1962" s="631"/>
      <c r="K1962" s="593">
        <f t="shared" si="449"/>
        <v>0</v>
      </c>
      <c r="L1962" s="594"/>
      <c r="M1962" s="600"/>
      <c r="N1962" s="600">
        <v>0</v>
      </c>
      <c r="O1962" s="287">
        <f t="shared" si="429"/>
        <v>0</v>
      </c>
      <c r="P1962" s="287">
        <f t="shared" si="430"/>
        <v>0</v>
      </c>
      <c r="Q1962" s="288"/>
      <c r="R1962" s="311" t="str">
        <f>IF(P1961&gt;0,"xy","")</f>
        <v/>
      </c>
      <c r="S1962" s="378" t="str">
        <f t="shared" si="496"/>
        <v/>
      </c>
    </row>
    <row r="1963" spans="2:19" hidden="1" x14ac:dyDescent="0.2">
      <c r="B1963" s="730" t="s">
        <v>168</v>
      </c>
      <c r="C1963" s="300"/>
      <c r="D1963" s="383" t="s">
        <v>249</v>
      </c>
      <c r="E1963" s="704"/>
      <c r="F1963" s="661">
        <v>180</v>
      </c>
      <c r="G1963" s="665">
        <v>1.34E-2</v>
      </c>
      <c r="H1963" s="663">
        <f t="shared" ref="H1963" si="519">IF(F1963&lt;=30,(1.05*F1963+2.18)*G1963,((1.05*30+2.18)+0.87*(F1963-30))*G1963)</f>
        <v>2.2000120000000001</v>
      </c>
      <c r="I1963" s="380"/>
      <c r="J1963" s="631"/>
      <c r="K1963" s="593">
        <f t="shared" si="449"/>
        <v>0</v>
      </c>
      <c r="L1963" s="594"/>
      <c r="M1963" s="600"/>
      <c r="N1963" s="600">
        <v>0</v>
      </c>
      <c r="O1963" s="287">
        <f t="shared" si="429"/>
        <v>0</v>
      </c>
      <c r="P1963" s="287">
        <f t="shared" si="430"/>
        <v>0</v>
      </c>
      <c r="Q1963" s="288"/>
      <c r="R1963" s="311" t="str">
        <f>IF(P1961&gt;0,"xy","")</f>
        <v/>
      </c>
      <c r="S1963" s="378" t="str">
        <f t="shared" si="496"/>
        <v/>
      </c>
    </row>
    <row r="1964" spans="2:19" hidden="1" x14ac:dyDescent="0.2">
      <c r="B1964" s="730" t="s">
        <v>168</v>
      </c>
      <c r="C1964" s="300"/>
      <c r="D1964" s="383" t="s">
        <v>349</v>
      </c>
      <c r="E1964" s="704"/>
      <c r="F1964" s="661">
        <v>20</v>
      </c>
      <c r="G1964" s="665">
        <v>0.39</v>
      </c>
      <c r="H1964" s="663">
        <f>IF(F1964&lt;=30,(1.05*F1964+2.18)*G1964,((1.05*30+2.18)+0.87*(F1964-30))*G1964)</f>
        <v>9.0402000000000005</v>
      </c>
      <c r="I1964" s="380"/>
      <c r="J1964" s="631"/>
      <c r="K1964" s="593">
        <f t="shared" si="449"/>
        <v>0</v>
      </c>
      <c r="L1964" s="594"/>
      <c r="M1964" s="600"/>
      <c r="N1964" s="600">
        <v>0</v>
      </c>
      <c r="O1964" s="287">
        <f t="shared" si="429"/>
        <v>0</v>
      </c>
      <c r="P1964" s="287">
        <f t="shared" si="430"/>
        <v>0</v>
      </c>
      <c r="Q1964" s="288"/>
      <c r="R1964" s="243" t="str">
        <f>IF(P1961&gt;0,"xy","")</f>
        <v/>
      </c>
      <c r="S1964" s="378" t="str">
        <f t="shared" si="496"/>
        <v/>
      </c>
    </row>
    <row r="1965" spans="2:19" hidden="1" x14ac:dyDescent="0.2">
      <c r="B1965" s="730" t="s">
        <v>1868</v>
      </c>
      <c r="C1965" s="300" t="s">
        <v>207</v>
      </c>
      <c r="D1965" s="383" t="s">
        <v>523</v>
      </c>
      <c r="E1965" s="704"/>
      <c r="F1965" s="661"/>
      <c r="G1965" s="665"/>
      <c r="H1965" s="664">
        <f>SUM(H1966:H1968)</f>
        <v>15.693069000000001</v>
      </c>
      <c r="I1965" s="380">
        <v>188.1</v>
      </c>
      <c r="J1965" s="631">
        <f t="shared" ref="J1965" si="520">IF(ISBLANK(I1965),"",SUM(H1965:I1965))</f>
        <v>203.793069</v>
      </c>
      <c r="K1965" s="593">
        <f t="shared" si="449"/>
        <v>258.31</v>
      </c>
      <c r="L1965" s="594" t="s">
        <v>19</v>
      </c>
      <c r="M1965" s="30"/>
      <c r="N1965" s="30">
        <v>258.31</v>
      </c>
      <c r="O1965" s="287">
        <f t="shared" si="429"/>
        <v>0</v>
      </c>
      <c r="P1965" s="287">
        <f t="shared" si="430"/>
        <v>0</v>
      </c>
      <c r="Q1965" s="288"/>
      <c r="S1965" s="378" t="str">
        <f t="shared" si="496"/>
        <v/>
      </c>
    </row>
    <row r="1966" spans="2:19" hidden="1" x14ac:dyDescent="0.2">
      <c r="B1966" s="730" t="s">
        <v>168</v>
      </c>
      <c r="C1966" s="300"/>
      <c r="D1966" s="383" t="s">
        <v>213</v>
      </c>
      <c r="E1966" s="704"/>
      <c r="F1966" s="661">
        <v>500</v>
      </c>
      <c r="G1966" s="665">
        <v>2.8999999999999998E-3</v>
      </c>
      <c r="H1966" s="664">
        <f>IF(F1966&lt;=30,(0.75*F1966+6.29)*G1966,((0.75*30+6.29)+0.62*(F1966-30))*G1966)</f>
        <v>0.9285509999999999</v>
      </c>
      <c r="I1966" s="380"/>
      <c r="J1966" s="631"/>
      <c r="K1966" s="593">
        <f t="shared" si="449"/>
        <v>0</v>
      </c>
      <c r="L1966" s="594"/>
      <c r="M1966" s="600"/>
      <c r="N1966" s="600">
        <v>0</v>
      </c>
      <c r="O1966" s="287">
        <f t="shared" si="429"/>
        <v>0</v>
      </c>
      <c r="P1966" s="287">
        <f t="shared" si="430"/>
        <v>0</v>
      </c>
      <c r="Q1966" s="288"/>
      <c r="R1966" s="311" t="str">
        <f>IF(P1965&gt;0,"xy","")</f>
        <v/>
      </c>
      <c r="S1966" s="378" t="str">
        <f t="shared" si="496"/>
        <v/>
      </c>
    </row>
    <row r="1967" spans="2:19" hidden="1" x14ac:dyDescent="0.2">
      <c r="B1967" s="730" t="s">
        <v>168</v>
      </c>
      <c r="C1967" s="300"/>
      <c r="D1967" s="383" t="s">
        <v>249</v>
      </c>
      <c r="E1967" s="704"/>
      <c r="F1967" s="661">
        <v>180</v>
      </c>
      <c r="G1967" s="665">
        <v>1.5100000000000001E-2</v>
      </c>
      <c r="H1967" s="663">
        <f t="shared" ref="H1967" si="521">IF(F1967&lt;=30,(1.05*F1967+2.18)*G1967,((1.05*30+2.18)+0.87*(F1967-30))*G1967)</f>
        <v>2.4791180000000002</v>
      </c>
      <c r="I1967" s="380"/>
      <c r="J1967" s="631"/>
      <c r="K1967" s="593">
        <f t="shared" si="449"/>
        <v>0</v>
      </c>
      <c r="L1967" s="594"/>
      <c r="M1967" s="600"/>
      <c r="N1967" s="600">
        <v>0</v>
      </c>
      <c r="O1967" s="287">
        <f t="shared" si="429"/>
        <v>0</v>
      </c>
      <c r="P1967" s="287">
        <f t="shared" si="430"/>
        <v>0</v>
      </c>
      <c r="Q1967" s="288"/>
      <c r="R1967" s="311" t="str">
        <f>IF(P1965&gt;0,"xy","")</f>
        <v/>
      </c>
      <c r="S1967" s="378" t="str">
        <f t="shared" si="496"/>
        <v/>
      </c>
    </row>
    <row r="1968" spans="2:19" hidden="1" x14ac:dyDescent="0.2">
      <c r="B1968" s="730" t="s">
        <v>168</v>
      </c>
      <c r="C1968" s="300"/>
      <c r="D1968" s="383" t="s">
        <v>349</v>
      </c>
      <c r="E1968" s="704"/>
      <c r="F1968" s="661">
        <v>20</v>
      </c>
      <c r="G1968" s="665">
        <v>0.53</v>
      </c>
      <c r="H1968" s="663">
        <f>IF(F1968&lt;=30,(1.05*F1968+2.18)*G1968,((1.05*30+2.18)+0.87*(F1968-30))*G1968)</f>
        <v>12.285400000000001</v>
      </c>
      <c r="I1968" s="380"/>
      <c r="J1968" s="631"/>
      <c r="K1968" s="593">
        <f t="shared" si="449"/>
        <v>0</v>
      </c>
      <c r="L1968" s="594"/>
      <c r="M1968" s="600"/>
      <c r="N1968" s="600">
        <v>0</v>
      </c>
      <c r="O1968" s="287">
        <f t="shared" si="429"/>
        <v>0</v>
      </c>
      <c r="P1968" s="287">
        <f t="shared" si="430"/>
        <v>0</v>
      </c>
      <c r="Q1968" s="288"/>
      <c r="R1968" s="243" t="str">
        <f>IF(P1965&gt;0,"xy","")</f>
        <v/>
      </c>
      <c r="S1968" s="378" t="str">
        <f t="shared" si="496"/>
        <v/>
      </c>
    </row>
    <row r="1969" spans="2:19" hidden="1" x14ac:dyDescent="0.2">
      <c r="B1969" s="730" t="s">
        <v>1873</v>
      </c>
      <c r="C1969" s="300" t="s">
        <v>207</v>
      </c>
      <c r="D1969" s="383" t="s">
        <v>377</v>
      </c>
      <c r="E1969" s="704"/>
      <c r="F1969" s="661"/>
      <c r="G1969" s="665"/>
      <c r="H1969" s="664">
        <f>SUM(H1970:H1972)</f>
        <v>19.313432000000002</v>
      </c>
      <c r="I1969" s="380">
        <v>248.84999999999997</v>
      </c>
      <c r="J1969" s="631">
        <f t="shared" ref="J1969" si="522">IF(ISBLANK(I1969),"",SUM(H1969:I1969))</f>
        <v>268.16343199999994</v>
      </c>
      <c r="K1969" s="593">
        <f t="shared" si="449"/>
        <v>339.9</v>
      </c>
      <c r="L1969" s="594" t="s">
        <v>19</v>
      </c>
      <c r="M1969" s="30"/>
      <c r="N1969" s="30">
        <v>339.9</v>
      </c>
      <c r="O1969" s="287">
        <f t="shared" si="429"/>
        <v>0</v>
      </c>
      <c r="P1969" s="287">
        <f t="shared" si="430"/>
        <v>0</v>
      </c>
      <c r="Q1969" s="288"/>
      <c r="S1969" s="378" t="str">
        <f t="shared" si="496"/>
        <v/>
      </c>
    </row>
    <row r="1970" spans="2:19" hidden="1" x14ac:dyDescent="0.2">
      <c r="B1970" s="730" t="s">
        <v>168</v>
      </c>
      <c r="C1970" s="300"/>
      <c r="D1970" s="383" t="s">
        <v>213</v>
      </c>
      <c r="E1970" s="704"/>
      <c r="F1970" s="661">
        <v>500</v>
      </c>
      <c r="G1970" s="665">
        <v>3.2000000000000002E-3</v>
      </c>
      <c r="H1970" s="664">
        <f>IF(F1970&lt;=30,(0.75*F1970+6.29)*G1970,((0.75*30+6.29)+0.62*(F1970-30))*G1970)</f>
        <v>1.024608</v>
      </c>
      <c r="I1970" s="380"/>
      <c r="J1970" s="631"/>
      <c r="K1970" s="593">
        <f t="shared" si="449"/>
        <v>0</v>
      </c>
      <c r="L1970" s="594"/>
      <c r="M1970" s="600"/>
      <c r="N1970" s="600">
        <v>0</v>
      </c>
      <c r="O1970" s="287">
        <f t="shared" si="429"/>
        <v>0</v>
      </c>
      <c r="P1970" s="287">
        <f t="shared" si="430"/>
        <v>0</v>
      </c>
      <c r="Q1970" s="288"/>
      <c r="R1970" s="311" t="str">
        <f>IF(P1969&gt;0,"xy","")</f>
        <v/>
      </c>
      <c r="S1970" s="378" t="str">
        <f t="shared" si="496"/>
        <v/>
      </c>
    </row>
    <row r="1971" spans="2:19" hidden="1" x14ac:dyDescent="0.2">
      <c r="B1971" s="730" t="s">
        <v>168</v>
      </c>
      <c r="C1971" s="300"/>
      <c r="D1971" s="383" t="s">
        <v>249</v>
      </c>
      <c r="E1971" s="704"/>
      <c r="F1971" s="661">
        <v>180</v>
      </c>
      <c r="G1971" s="665">
        <v>1.6799999999999999E-2</v>
      </c>
      <c r="H1971" s="663">
        <f t="shared" ref="H1971" si="523">IF(F1971&lt;=30,(1.05*F1971+2.18)*G1971,((1.05*30+2.18)+0.87*(F1971-30))*G1971)</f>
        <v>2.7582239999999998</v>
      </c>
      <c r="I1971" s="380"/>
      <c r="J1971" s="631"/>
      <c r="K1971" s="593">
        <f t="shared" si="449"/>
        <v>0</v>
      </c>
      <c r="L1971" s="594"/>
      <c r="M1971" s="600"/>
      <c r="N1971" s="600">
        <v>0</v>
      </c>
      <c r="O1971" s="287">
        <f t="shared" si="429"/>
        <v>0</v>
      </c>
      <c r="P1971" s="287">
        <f t="shared" si="430"/>
        <v>0</v>
      </c>
      <c r="Q1971" s="288"/>
      <c r="R1971" s="311" t="str">
        <f>IF(P1969&gt;0,"xy","")</f>
        <v/>
      </c>
      <c r="S1971" s="378" t="str">
        <f t="shared" si="496"/>
        <v/>
      </c>
    </row>
    <row r="1972" spans="2:19" hidden="1" x14ac:dyDescent="0.2">
      <c r="B1972" s="730" t="s">
        <v>168</v>
      </c>
      <c r="C1972" s="300"/>
      <c r="D1972" s="383" t="s">
        <v>349</v>
      </c>
      <c r="E1972" s="704"/>
      <c r="F1972" s="661">
        <v>20</v>
      </c>
      <c r="G1972" s="665">
        <v>0.67</v>
      </c>
      <c r="H1972" s="663">
        <f>IF(F1972&lt;=30,(1.05*F1972+2.18)*G1972,((1.05*30+2.18)+0.87*(F1972-30))*G1972)</f>
        <v>15.530600000000002</v>
      </c>
      <c r="I1972" s="380"/>
      <c r="J1972" s="631"/>
      <c r="K1972" s="593">
        <f t="shared" si="449"/>
        <v>0</v>
      </c>
      <c r="L1972" s="594"/>
      <c r="M1972" s="600"/>
      <c r="N1972" s="600">
        <v>0</v>
      </c>
      <c r="O1972" s="287">
        <f t="shared" si="429"/>
        <v>0</v>
      </c>
      <c r="P1972" s="287">
        <f t="shared" si="430"/>
        <v>0</v>
      </c>
      <c r="Q1972" s="288"/>
      <c r="R1972" s="243" t="str">
        <f>IF(P1969&gt;0,"xy","")</f>
        <v/>
      </c>
      <c r="S1972" s="378" t="str">
        <f t="shared" si="496"/>
        <v/>
      </c>
    </row>
    <row r="1973" spans="2:19" x14ac:dyDescent="0.2">
      <c r="B1973" s="730" t="s">
        <v>1865</v>
      </c>
      <c r="C1973" s="300" t="s">
        <v>207</v>
      </c>
      <c r="D1973" s="383" t="s">
        <v>378</v>
      </c>
      <c r="E1973" s="704"/>
      <c r="F1973" s="661"/>
      <c r="G1973" s="665"/>
      <c r="H1973" s="664">
        <f>SUM(H1974:H1976)</f>
        <v>3.0825416000000003</v>
      </c>
      <c r="I1973" s="380">
        <v>109.36</v>
      </c>
      <c r="J1973" s="631">
        <f t="shared" ref="J1973" si="524">IF(ISBLANK(I1973),"",SUM(H1973:I1973))</f>
        <v>112.4425416</v>
      </c>
      <c r="K1973" s="593">
        <f t="shared" si="449"/>
        <v>142.52000000000001</v>
      </c>
      <c r="L1973" s="594" t="s">
        <v>19</v>
      </c>
      <c r="M1973" s="30">
        <v>30</v>
      </c>
      <c r="N1973" s="30">
        <v>142.52000000000001</v>
      </c>
      <c r="O1973" s="287">
        <f t="shared" si="429"/>
        <v>4275.6000000000004</v>
      </c>
      <c r="P1973" s="287">
        <f t="shared" si="430"/>
        <v>4275.6000000000004</v>
      </c>
      <c r="Q1973" s="288"/>
      <c r="S1973" s="378" t="str">
        <f t="shared" si="496"/>
        <v>x</v>
      </c>
    </row>
    <row r="1974" spans="2:19" x14ac:dyDescent="0.2">
      <c r="B1974" s="730" t="s">
        <v>168</v>
      </c>
      <c r="C1974" s="300"/>
      <c r="D1974" s="383" t="s">
        <v>213</v>
      </c>
      <c r="E1974" s="704"/>
      <c r="F1974" s="661">
        <v>77.7</v>
      </c>
      <c r="G1974" s="665">
        <v>1.9E-3</v>
      </c>
      <c r="H1974" s="664">
        <f>IF(F1974&lt;=30,(0.75*F1974+6.29)*G1974,((0.75*30+6.29)+0.62*(F1974-30))*G1974)</f>
        <v>0.11089160000000001</v>
      </c>
      <c r="I1974" s="380"/>
      <c r="J1974" s="631"/>
      <c r="K1974" s="593">
        <f t="shared" si="449"/>
        <v>0</v>
      </c>
      <c r="L1974" s="594"/>
      <c r="M1974" s="600"/>
      <c r="N1974" s="600">
        <v>0</v>
      </c>
      <c r="O1974" s="287">
        <f t="shared" si="429"/>
        <v>0</v>
      </c>
      <c r="P1974" s="287">
        <f t="shared" si="430"/>
        <v>0</v>
      </c>
      <c r="Q1974" s="288"/>
      <c r="R1974" s="311" t="str">
        <f>IF(P1973&gt;0,"xy","")</f>
        <v>xy</v>
      </c>
      <c r="S1974" s="378" t="str">
        <f t="shared" si="496"/>
        <v>x</v>
      </c>
    </row>
    <row r="1975" spans="2:19" x14ac:dyDescent="0.2">
      <c r="B1975" s="730" t="s">
        <v>168</v>
      </c>
      <c r="C1975" s="300"/>
      <c r="D1975" s="383" t="s">
        <v>249</v>
      </c>
      <c r="E1975" s="704"/>
      <c r="F1975" s="661">
        <v>23.8</v>
      </c>
      <c r="G1975" s="665">
        <v>0.01</v>
      </c>
      <c r="H1975" s="663">
        <f t="shared" ref="H1975" si="525">IF(F1975&lt;=30,(1.05*F1975+2.18)*G1975,((1.05*30+2.18)+0.87*(F1975-30))*G1975)</f>
        <v>0.2717</v>
      </c>
      <c r="I1975" s="380"/>
      <c r="J1975" s="631"/>
      <c r="K1975" s="593">
        <f t="shared" si="449"/>
        <v>0</v>
      </c>
      <c r="L1975" s="594"/>
      <c r="M1975" s="600"/>
      <c r="N1975" s="600">
        <v>0</v>
      </c>
      <c r="O1975" s="287">
        <f t="shared" si="429"/>
        <v>0</v>
      </c>
      <c r="P1975" s="287">
        <f t="shared" si="430"/>
        <v>0</v>
      </c>
      <c r="Q1975" s="288"/>
      <c r="R1975" s="311" t="str">
        <f>IF(P1973&gt;0,"xy","")</f>
        <v>xy</v>
      </c>
      <c r="S1975" s="378" t="str">
        <f t="shared" si="496"/>
        <v>x</v>
      </c>
    </row>
    <row r="1976" spans="2:19" x14ac:dyDescent="0.2">
      <c r="B1976" s="730" t="s">
        <v>168</v>
      </c>
      <c r="C1976" s="300"/>
      <c r="D1976" s="383" t="s">
        <v>349</v>
      </c>
      <c r="E1976" s="704"/>
      <c r="F1976" s="590">
        <v>21.3</v>
      </c>
      <c r="G1976" s="665">
        <v>0.11</v>
      </c>
      <c r="H1976" s="663">
        <f>IF(F1976&lt;=30,(1.05*F1976+2.18)*G1976,((1.05*30+2.18)+0.87*(F1976-30))*G1976)</f>
        <v>2.6999500000000003</v>
      </c>
      <c r="I1976" s="380"/>
      <c r="J1976" s="631"/>
      <c r="K1976" s="593">
        <f t="shared" si="449"/>
        <v>0</v>
      </c>
      <c r="L1976" s="594"/>
      <c r="M1976" s="600"/>
      <c r="N1976" s="600">
        <v>0</v>
      </c>
      <c r="O1976" s="287">
        <f t="shared" si="429"/>
        <v>0</v>
      </c>
      <c r="P1976" s="287">
        <f t="shared" si="430"/>
        <v>0</v>
      </c>
      <c r="Q1976" s="288"/>
      <c r="R1976" s="243" t="str">
        <f>IF(P1973&gt;0,"xy","")</f>
        <v>xy</v>
      </c>
      <c r="S1976" s="378" t="str">
        <f t="shared" si="496"/>
        <v>x</v>
      </c>
    </row>
    <row r="1977" spans="2:19" hidden="1" x14ac:dyDescent="0.2">
      <c r="B1977" s="730" t="s">
        <v>1869</v>
      </c>
      <c r="C1977" s="300" t="s">
        <v>207</v>
      </c>
      <c r="D1977" s="383" t="s">
        <v>722</v>
      </c>
      <c r="E1977" s="704"/>
      <c r="F1977" s="661"/>
      <c r="G1977" s="665"/>
      <c r="H1977" s="664">
        <f>SUM(H1978:H1980)</f>
        <v>8.4523429999999991</v>
      </c>
      <c r="I1977" s="380">
        <v>148.02000000000001</v>
      </c>
      <c r="J1977" s="631">
        <f t="shared" ref="J1977" si="526">IF(ISBLANK(I1977),"",SUM(H1977:I1977))</f>
        <v>156.47234300000002</v>
      </c>
      <c r="K1977" s="593">
        <f t="shared" si="449"/>
        <v>198.33</v>
      </c>
      <c r="L1977" s="594" t="s">
        <v>19</v>
      </c>
      <c r="M1977" s="30"/>
      <c r="N1977" s="30">
        <v>198.33</v>
      </c>
      <c r="O1977" s="287">
        <f t="shared" si="429"/>
        <v>0</v>
      </c>
      <c r="P1977" s="287">
        <f t="shared" si="430"/>
        <v>0</v>
      </c>
      <c r="Q1977" s="288"/>
      <c r="S1977" s="378" t="str">
        <f t="shared" si="496"/>
        <v/>
      </c>
    </row>
    <row r="1978" spans="2:19" hidden="1" x14ac:dyDescent="0.2">
      <c r="B1978" s="730" t="s">
        <v>168</v>
      </c>
      <c r="C1978" s="300"/>
      <c r="D1978" s="383" t="s">
        <v>213</v>
      </c>
      <c r="E1978" s="704"/>
      <c r="F1978" s="661">
        <v>500</v>
      </c>
      <c r="G1978" s="665">
        <v>2.3E-3</v>
      </c>
      <c r="H1978" s="664">
        <f>IF(F1978&lt;=30,(0.75*F1978+6.29)*G1978,((0.75*30+6.29)+0.62*(F1978-30))*G1978)</f>
        <v>0.73643700000000001</v>
      </c>
      <c r="I1978" s="380"/>
      <c r="J1978" s="631"/>
      <c r="K1978" s="593">
        <f t="shared" si="449"/>
        <v>0</v>
      </c>
      <c r="L1978" s="594"/>
      <c r="M1978" s="600"/>
      <c r="N1978" s="600">
        <v>0</v>
      </c>
      <c r="O1978" s="287">
        <f t="shared" si="429"/>
        <v>0</v>
      </c>
      <c r="P1978" s="287">
        <f t="shared" si="430"/>
        <v>0</v>
      </c>
      <c r="Q1978" s="288"/>
      <c r="R1978" s="311" t="str">
        <f>IF(P1977&gt;0,"xy","")</f>
        <v/>
      </c>
      <c r="S1978" s="378" t="str">
        <f t="shared" si="496"/>
        <v/>
      </c>
    </row>
    <row r="1979" spans="2:19" hidden="1" x14ac:dyDescent="0.2">
      <c r="B1979" s="730" t="s">
        <v>168</v>
      </c>
      <c r="C1979" s="300"/>
      <c r="D1979" s="383" t="s">
        <v>249</v>
      </c>
      <c r="E1979" s="704"/>
      <c r="F1979" s="661">
        <v>180</v>
      </c>
      <c r="G1979" s="665">
        <v>1.17E-2</v>
      </c>
      <c r="H1979" s="663">
        <f t="shared" ref="H1979" si="527">IF(F1979&lt;=30,(1.05*F1979+2.18)*G1979,((1.05*30+2.18)+0.87*(F1979-30))*G1979)</f>
        <v>1.9209060000000002</v>
      </c>
      <c r="I1979" s="380"/>
      <c r="J1979" s="631"/>
      <c r="K1979" s="593">
        <f t="shared" si="449"/>
        <v>0</v>
      </c>
      <c r="L1979" s="594"/>
      <c r="M1979" s="600"/>
      <c r="N1979" s="600">
        <v>0</v>
      </c>
      <c r="O1979" s="287">
        <f t="shared" si="429"/>
        <v>0</v>
      </c>
      <c r="P1979" s="287">
        <f t="shared" si="430"/>
        <v>0</v>
      </c>
      <c r="Q1979" s="288"/>
      <c r="R1979" s="311" t="str">
        <f>IF(P1977&gt;0,"xy","")</f>
        <v/>
      </c>
      <c r="S1979" s="378" t="str">
        <f t="shared" si="496"/>
        <v/>
      </c>
    </row>
    <row r="1980" spans="2:19" hidden="1" x14ac:dyDescent="0.2">
      <c r="B1980" s="730" t="s">
        <v>168</v>
      </c>
      <c r="C1980" s="300"/>
      <c r="D1980" s="383" t="s">
        <v>349</v>
      </c>
      <c r="E1980" s="704"/>
      <c r="F1980" s="661">
        <v>20</v>
      </c>
      <c r="G1980" s="665">
        <v>0.25</v>
      </c>
      <c r="H1980" s="663">
        <f>IF(F1980&lt;=30,(1.05*F1980+2.18)*G1980,((1.05*30+2.18)+0.87*(F1980-30))*G1980)</f>
        <v>5.7949999999999999</v>
      </c>
      <c r="I1980" s="380"/>
      <c r="J1980" s="631"/>
      <c r="K1980" s="593">
        <f t="shared" si="449"/>
        <v>0</v>
      </c>
      <c r="L1980" s="594"/>
      <c r="M1980" s="600"/>
      <c r="N1980" s="600">
        <v>0</v>
      </c>
      <c r="O1980" s="287">
        <f t="shared" si="429"/>
        <v>0</v>
      </c>
      <c r="P1980" s="287">
        <f t="shared" si="430"/>
        <v>0</v>
      </c>
      <c r="Q1980" s="288"/>
      <c r="R1980" s="243" t="str">
        <f>IF(P1977&gt;0,"xy","")</f>
        <v/>
      </c>
      <c r="S1980" s="378" t="str">
        <f t="shared" si="496"/>
        <v/>
      </c>
    </row>
    <row r="1981" spans="2:19" x14ac:dyDescent="0.2">
      <c r="B1981" s="730" t="s">
        <v>1870</v>
      </c>
      <c r="C1981" s="300" t="s">
        <v>207</v>
      </c>
      <c r="D1981" s="383" t="s">
        <v>379</v>
      </c>
      <c r="E1981" s="704"/>
      <c r="F1981" s="661"/>
      <c r="G1981" s="665"/>
      <c r="H1981" s="664">
        <f>SUM(H1982:H1984)</f>
        <v>10.088374400000001</v>
      </c>
      <c r="I1981" s="380">
        <v>186.68000000000004</v>
      </c>
      <c r="J1981" s="631">
        <f t="shared" ref="J1981" si="528">IF(ISBLANK(I1981),"",SUM(H1981:I1981))</f>
        <v>196.76837440000003</v>
      </c>
      <c r="K1981" s="593">
        <f t="shared" si="449"/>
        <v>249.4</v>
      </c>
      <c r="L1981" s="594" t="s">
        <v>19</v>
      </c>
      <c r="M1981" s="30">
        <v>140</v>
      </c>
      <c r="N1981" s="30">
        <v>249.4</v>
      </c>
      <c r="O1981" s="287">
        <f t="shared" si="429"/>
        <v>34916</v>
      </c>
      <c r="P1981" s="287">
        <f t="shared" si="430"/>
        <v>34916</v>
      </c>
      <c r="Q1981" s="288"/>
      <c r="S1981" s="378" t="str">
        <f t="shared" ref="S1981:S2044" si="529">IF(R1981="x","x",IF(R1981="y","x",IF(R1981="xy","x",IF(P1981&gt;0,"x",""))))</f>
        <v>x</v>
      </c>
    </row>
    <row r="1982" spans="2:19" x14ac:dyDescent="0.2">
      <c r="B1982" s="730" t="s">
        <v>168</v>
      </c>
      <c r="C1982" s="300"/>
      <c r="D1982" s="383" t="s">
        <v>213</v>
      </c>
      <c r="E1982" s="704"/>
      <c r="F1982" s="661">
        <v>77.7</v>
      </c>
      <c r="G1982" s="665">
        <v>2.5999999999999999E-3</v>
      </c>
      <c r="H1982" s="664">
        <f>IF(F1982&lt;=30,(0.75*F1982+6.29)*G1982,((0.75*30+6.29)+0.62*(F1982-30))*G1982)</f>
        <v>0.1517464</v>
      </c>
      <c r="I1982" s="380"/>
      <c r="J1982" s="631"/>
      <c r="K1982" s="593">
        <f t="shared" si="449"/>
        <v>0</v>
      </c>
      <c r="L1982" s="594"/>
      <c r="M1982" s="600"/>
      <c r="N1982" s="600">
        <v>0</v>
      </c>
      <c r="O1982" s="287">
        <f t="shared" si="429"/>
        <v>0</v>
      </c>
      <c r="P1982" s="287">
        <f t="shared" si="430"/>
        <v>0</v>
      </c>
      <c r="Q1982" s="288"/>
      <c r="R1982" s="311" t="str">
        <f>IF(P1981&gt;0,"xy","")</f>
        <v>xy</v>
      </c>
      <c r="S1982" s="378" t="str">
        <f t="shared" si="529"/>
        <v>x</v>
      </c>
    </row>
    <row r="1983" spans="2:19" x14ac:dyDescent="0.2">
      <c r="B1983" s="730" t="s">
        <v>168</v>
      </c>
      <c r="C1983" s="300"/>
      <c r="D1983" s="383" t="s">
        <v>249</v>
      </c>
      <c r="E1983" s="704"/>
      <c r="F1983" s="661">
        <v>23.8</v>
      </c>
      <c r="G1983" s="665">
        <v>1.34E-2</v>
      </c>
      <c r="H1983" s="663">
        <f t="shared" ref="H1983" si="530">IF(F1983&lt;=30,(1.05*F1983+2.18)*G1983,((1.05*30+2.18)+0.87*(F1983-30))*G1983)</f>
        <v>0.36407800000000001</v>
      </c>
      <c r="I1983" s="380"/>
      <c r="J1983" s="631"/>
      <c r="K1983" s="593">
        <f t="shared" si="449"/>
        <v>0</v>
      </c>
      <c r="L1983" s="594"/>
      <c r="M1983" s="600"/>
      <c r="N1983" s="600">
        <v>0</v>
      </c>
      <c r="O1983" s="287">
        <f t="shared" si="429"/>
        <v>0</v>
      </c>
      <c r="P1983" s="287">
        <f t="shared" si="430"/>
        <v>0</v>
      </c>
      <c r="Q1983" s="288"/>
      <c r="R1983" s="311" t="str">
        <f>IF(P1981&gt;0,"xy","")</f>
        <v>xy</v>
      </c>
      <c r="S1983" s="378" t="str">
        <f t="shared" si="529"/>
        <v>x</v>
      </c>
    </row>
    <row r="1984" spans="2:19" x14ac:dyDescent="0.2">
      <c r="B1984" s="730" t="s">
        <v>168</v>
      </c>
      <c r="C1984" s="300"/>
      <c r="D1984" s="383" t="s">
        <v>349</v>
      </c>
      <c r="E1984" s="704"/>
      <c r="F1984" s="661">
        <v>21.3</v>
      </c>
      <c r="G1984" s="665">
        <v>0.39</v>
      </c>
      <c r="H1984" s="663">
        <f>IF(F1984&lt;=30,(1.05*F1984+2.18)*G1984,((1.05*30+2.18)+0.87*(F1984-30))*G1984)</f>
        <v>9.5725500000000014</v>
      </c>
      <c r="I1984" s="380"/>
      <c r="J1984" s="631"/>
      <c r="K1984" s="593">
        <f t="shared" si="449"/>
        <v>0</v>
      </c>
      <c r="L1984" s="594"/>
      <c r="M1984" s="600"/>
      <c r="N1984" s="600">
        <v>0</v>
      </c>
      <c r="O1984" s="287">
        <f t="shared" si="429"/>
        <v>0</v>
      </c>
      <c r="P1984" s="287">
        <f t="shared" si="430"/>
        <v>0</v>
      </c>
      <c r="Q1984" s="288"/>
      <c r="R1984" s="243" t="str">
        <f>IF(P1981&gt;0,"xy","")</f>
        <v>xy</v>
      </c>
      <c r="S1984" s="378" t="str">
        <f t="shared" si="529"/>
        <v>x</v>
      </c>
    </row>
    <row r="1985" spans="2:19" hidden="1" x14ac:dyDescent="0.2">
      <c r="B1985" s="730" t="s">
        <v>1874</v>
      </c>
      <c r="C1985" s="300" t="s">
        <v>207</v>
      </c>
      <c r="D1985" s="383" t="s">
        <v>720</v>
      </c>
      <c r="E1985" s="704"/>
      <c r="F1985" s="661"/>
      <c r="G1985" s="665"/>
      <c r="H1985" s="664">
        <f>SUM(H1986:H1988)</f>
        <v>15.693069000000001</v>
      </c>
      <c r="I1985" s="380">
        <v>261.59999999999997</v>
      </c>
      <c r="J1985" s="631">
        <f t="shared" ref="J1985" si="531">IF(ISBLANK(I1985),"",SUM(H1985:I1985))</f>
        <v>277.29306899999995</v>
      </c>
      <c r="K1985" s="593">
        <f t="shared" si="449"/>
        <v>351.47</v>
      </c>
      <c r="L1985" s="594" t="s">
        <v>19</v>
      </c>
      <c r="M1985" s="30"/>
      <c r="N1985" s="30">
        <v>351.47</v>
      </c>
      <c r="O1985" s="287">
        <f t="shared" si="429"/>
        <v>0</v>
      </c>
      <c r="P1985" s="287">
        <f t="shared" si="430"/>
        <v>0</v>
      </c>
      <c r="Q1985" s="288"/>
      <c r="S1985" s="378" t="str">
        <f t="shared" si="529"/>
        <v/>
      </c>
    </row>
    <row r="1986" spans="2:19" hidden="1" x14ac:dyDescent="0.2">
      <c r="B1986" s="730" t="s">
        <v>168</v>
      </c>
      <c r="C1986" s="300"/>
      <c r="D1986" s="383" t="s">
        <v>213</v>
      </c>
      <c r="E1986" s="704"/>
      <c r="F1986" s="661">
        <v>500</v>
      </c>
      <c r="G1986" s="665">
        <v>2.8999999999999998E-3</v>
      </c>
      <c r="H1986" s="664">
        <f>IF(F1986&lt;=30,(0.75*F1986+6.29)*G1986,((0.75*30+6.29)+0.62*(F1986-30))*G1986)</f>
        <v>0.9285509999999999</v>
      </c>
      <c r="I1986" s="380"/>
      <c r="J1986" s="631"/>
      <c r="K1986" s="593">
        <f t="shared" si="449"/>
        <v>0</v>
      </c>
      <c r="L1986" s="594"/>
      <c r="M1986" s="600"/>
      <c r="N1986" s="600">
        <v>0</v>
      </c>
      <c r="O1986" s="287">
        <f t="shared" si="429"/>
        <v>0</v>
      </c>
      <c r="P1986" s="287">
        <f t="shared" si="430"/>
        <v>0</v>
      </c>
      <c r="Q1986" s="288"/>
      <c r="R1986" s="311" t="str">
        <f>IF(P1985&gt;0,"xy","")</f>
        <v/>
      </c>
      <c r="S1986" s="378" t="str">
        <f t="shared" si="529"/>
        <v/>
      </c>
    </row>
    <row r="1987" spans="2:19" hidden="1" x14ac:dyDescent="0.2">
      <c r="B1987" s="730" t="s">
        <v>168</v>
      </c>
      <c r="C1987" s="300"/>
      <c r="D1987" s="383" t="s">
        <v>249</v>
      </c>
      <c r="E1987" s="704"/>
      <c r="F1987" s="661">
        <v>180</v>
      </c>
      <c r="G1987" s="665">
        <v>1.5100000000000001E-2</v>
      </c>
      <c r="H1987" s="663">
        <f t="shared" ref="H1987" si="532">IF(F1987&lt;=30,(1.05*F1987+2.18)*G1987,((1.05*30+2.18)+0.87*(F1987-30))*G1987)</f>
        <v>2.4791180000000002</v>
      </c>
      <c r="I1987" s="380"/>
      <c r="J1987" s="631"/>
      <c r="K1987" s="593">
        <f t="shared" si="449"/>
        <v>0</v>
      </c>
      <c r="L1987" s="594"/>
      <c r="M1987" s="600"/>
      <c r="N1987" s="600">
        <v>0</v>
      </c>
      <c r="O1987" s="287">
        <f t="shared" si="429"/>
        <v>0</v>
      </c>
      <c r="P1987" s="287">
        <f t="shared" si="430"/>
        <v>0</v>
      </c>
      <c r="Q1987" s="288"/>
      <c r="R1987" s="311" t="str">
        <f>IF(P1985&gt;0,"xy","")</f>
        <v/>
      </c>
      <c r="S1987" s="378" t="str">
        <f t="shared" si="529"/>
        <v/>
      </c>
    </row>
    <row r="1988" spans="2:19" hidden="1" x14ac:dyDescent="0.2">
      <c r="B1988" s="730" t="s">
        <v>168</v>
      </c>
      <c r="C1988" s="300"/>
      <c r="D1988" s="383" t="s">
        <v>349</v>
      </c>
      <c r="E1988" s="704"/>
      <c r="F1988" s="661">
        <v>20</v>
      </c>
      <c r="G1988" s="665">
        <v>0.53</v>
      </c>
      <c r="H1988" s="663">
        <f>IF(F1988&lt;=30,(1.05*F1988+2.18)*G1988,((1.05*30+2.18)+0.87*(F1988-30))*G1988)</f>
        <v>12.285400000000001</v>
      </c>
      <c r="I1988" s="380"/>
      <c r="J1988" s="631"/>
      <c r="K1988" s="593">
        <f t="shared" si="449"/>
        <v>0</v>
      </c>
      <c r="L1988" s="594"/>
      <c r="M1988" s="600"/>
      <c r="N1988" s="600">
        <v>0</v>
      </c>
      <c r="O1988" s="287">
        <f t="shared" si="429"/>
        <v>0</v>
      </c>
      <c r="P1988" s="287">
        <f t="shared" si="430"/>
        <v>0</v>
      </c>
      <c r="Q1988" s="288"/>
      <c r="R1988" s="243" t="str">
        <f>IF(P1985&gt;0,"xy","")</f>
        <v/>
      </c>
      <c r="S1988" s="378" t="str">
        <f t="shared" si="529"/>
        <v/>
      </c>
    </row>
    <row r="1989" spans="2:19" hidden="1" x14ac:dyDescent="0.2">
      <c r="B1989" s="730" t="s">
        <v>1875</v>
      </c>
      <c r="C1989" s="300" t="s">
        <v>207</v>
      </c>
      <c r="D1989" s="383" t="s">
        <v>380</v>
      </c>
      <c r="E1989" s="704"/>
      <c r="F1989" s="661"/>
      <c r="G1989" s="665"/>
      <c r="H1989" s="664">
        <f>SUM(H1990:H1992)</f>
        <v>19.313432000000002</v>
      </c>
      <c r="I1989" s="380">
        <v>336.52</v>
      </c>
      <c r="J1989" s="631">
        <f t="shared" ref="J1989" si="533">IF(ISBLANK(I1989),"",SUM(H1989:I1989))</f>
        <v>355.83343199999996</v>
      </c>
      <c r="K1989" s="593">
        <f t="shared" si="449"/>
        <v>451.02</v>
      </c>
      <c r="L1989" s="594" t="s">
        <v>19</v>
      </c>
      <c r="M1989" s="30"/>
      <c r="N1989" s="30">
        <v>451.02</v>
      </c>
      <c r="O1989" s="287">
        <f t="shared" si="429"/>
        <v>0</v>
      </c>
      <c r="P1989" s="287">
        <f t="shared" si="430"/>
        <v>0</v>
      </c>
      <c r="Q1989" s="288"/>
      <c r="S1989" s="378" t="str">
        <f t="shared" si="529"/>
        <v/>
      </c>
    </row>
    <row r="1990" spans="2:19" hidden="1" x14ac:dyDescent="0.2">
      <c r="B1990" s="730" t="s">
        <v>168</v>
      </c>
      <c r="C1990" s="300"/>
      <c r="D1990" s="383" t="s">
        <v>213</v>
      </c>
      <c r="E1990" s="704"/>
      <c r="F1990" s="661">
        <v>500</v>
      </c>
      <c r="G1990" s="665">
        <v>3.2000000000000002E-3</v>
      </c>
      <c r="H1990" s="664">
        <f>IF(F1990&lt;=30,(0.75*F1990+6.29)*G1990,((0.75*30+6.29)+0.62*(F1990-30))*G1990)</f>
        <v>1.024608</v>
      </c>
      <c r="I1990" s="380"/>
      <c r="J1990" s="631"/>
      <c r="K1990" s="593">
        <f t="shared" si="449"/>
        <v>0</v>
      </c>
      <c r="L1990" s="594"/>
      <c r="M1990" s="600"/>
      <c r="N1990" s="600">
        <v>0</v>
      </c>
      <c r="O1990" s="287">
        <f t="shared" si="429"/>
        <v>0</v>
      </c>
      <c r="P1990" s="287">
        <f t="shared" si="430"/>
        <v>0</v>
      </c>
      <c r="Q1990" s="288"/>
      <c r="R1990" s="311" t="str">
        <f>IF(P1989&gt;0,"xy","")</f>
        <v/>
      </c>
      <c r="S1990" s="378" t="str">
        <f t="shared" si="529"/>
        <v/>
      </c>
    </row>
    <row r="1991" spans="2:19" hidden="1" x14ac:dyDescent="0.2">
      <c r="B1991" s="730" t="s">
        <v>168</v>
      </c>
      <c r="C1991" s="300"/>
      <c r="D1991" s="383" t="s">
        <v>249</v>
      </c>
      <c r="E1991" s="704"/>
      <c r="F1991" s="661">
        <v>180</v>
      </c>
      <c r="G1991" s="665">
        <v>1.6799999999999999E-2</v>
      </c>
      <c r="H1991" s="663">
        <f t="shared" ref="H1991" si="534">IF(F1991&lt;=30,(1.05*F1991+2.18)*G1991,((1.05*30+2.18)+0.87*(F1991-30))*G1991)</f>
        <v>2.7582239999999998</v>
      </c>
      <c r="I1991" s="380"/>
      <c r="J1991" s="631"/>
      <c r="K1991" s="593">
        <f t="shared" si="449"/>
        <v>0</v>
      </c>
      <c r="L1991" s="594"/>
      <c r="M1991" s="600"/>
      <c r="N1991" s="600">
        <v>0</v>
      </c>
      <c r="O1991" s="287">
        <f t="shared" ref="O1991:O2054" si="535">IF(ISBLANK(M1991),0,ROUND(K1991*M1991,2))</f>
        <v>0</v>
      </c>
      <c r="P1991" s="287">
        <f t="shared" ref="P1991:P2054" si="536">IF(ISBLANK(N1991),0,ROUND(M1991*N1991,2))</f>
        <v>0</v>
      </c>
      <c r="Q1991" s="288"/>
      <c r="R1991" s="311" t="str">
        <f>IF(P1989&gt;0,"xy","")</f>
        <v/>
      </c>
      <c r="S1991" s="378" t="str">
        <f t="shared" si="529"/>
        <v/>
      </c>
    </row>
    <row r="1992" spans="2:19" hidden="1" x14ac:dyDescent="0.2">
      <c r="B1992" s="730" t="s">
        <v>168</v>
      </c>
      <c r="C1992" s="300"/>
      <c r="D1992" s="383" t="s">
        <v>349</v>
      </c>
      <c r="E1992" s="704"/>
      <c r="F1992" s="661">
        <v>20</v>
      </c>
      <c r="G1992" s="665">
        <v>0.67</v>
      </c>
      <c r="H1992" s="663">
        <f>IF(F1992&lt;=30,(1.05*F1992+2.18)*G1992,((1.05*30+2.18)+0.87*(F1992-30))*G1992)</f>
        <v>15.530600000000002</v>
      </c>
      <c r="I1992" s="380"/>
      <c r="J1992" s="631"/>
      <c r="K1992" s="593">
        <f t="shared" si="449"/>
        <v>0</v>
      </c>
      <c r="L1992" s="594"/>
      <c r="M1992" s="600"/>
      <c r="N1992" s="600">
        <v>0</v>
      </c>
      <c r="O1992" s="287">
        <f t="shared" si="535"/>
        <v>0</v>
      </c>
      <c r="P1992" s="287">
        <f t="shared" si="536"/>
        <v>0</v>
      </c>
      <c r="Q1992" s="288"/>
      <c r="R1992" s="243" t="str">
        <f>IF(P1989&gt;0,"xy","")</f>
        <v/>
      </c>
      <c r="S1992" s="378" t="str">
        <f t="shared" si="529"/>
        <v/>
      </c>
    </row>
    <row r="1993" spans="2:19" hidden="1" x14ac:dyDescent="0.2">
      <c r="B1993" s="730" t="s">
        <v>1882</v>
      </c>
      <c r="C1993" s="300" t="s">
        <v>207</v>
      </c>
      <c r="D1993" s="383" t="s">
        <v>721</v>
      </c>
      <c r="E1993" s="704"/>
      <c r="F1993" s="661"/>
      <c r="G1993" s="665"/>
      <c r="H1993" s="664">
        <f>SUM(H1994:H1996)</f>
        <v>24.083840000000002</v>
      </c>
      <c r="I1993" s="380">
        <v>395.745</v>
      </c>
      <c r="J1993" s="631">
        <f t="shared" ref="J1993" si="537">IF(ISBLANK(I1993),"",SUM(H1993:I1993))</f>
        <v>419.82884000000001</v>
      </c>
      <c r="K1993" s="593">
        <f t="shared" si="449"/>
        <v>532.13</v>
      </c>
      <c r="L1993" s="594" t="s">
        <v>19</v>
      </c>
      <c r="M1993" s="30"/>
      <c r="N1993" s="30">
        <v>532.13</v>
      </c>
      <c r="O1993" s="287">
        <f t="shared" si="535"/>
        <v>0</v>
      </c>
      <c r="P1993" s="287">
        <f t="shared" si="536"/>
        <v>0</v>
      </c>
      <c r="Q1993" s="288"/>
      <c r="S1993" s="378" t="str">
        <f t="shared" si="529"/>
        <v/>
      </c>
    </row>
    <row r="1994" spans="2:19" hidden="1" x14ac:dyDescent="0.2">
      <c r="B1994" s="730" t="s">
        <v>168</v>
      </c>
      <c r="C1994" s="300"/>
      <c r="D1994" s="383" t="s">
        <v>213</v>
      </c>
      <c r="E1994" s="704"/>
      <c r="F1994" s="661">
        <v>500</v>
      </c>
      <c r="G1994" s="665">
        <v>4.0000000000000001E-3</v>
      </c>
      <c r="H1994" s="664">
        <f>IF(F1994&lt;=30,(0.75*F1994+6.29)*G1994,((0.75*30+6.29)+0.62*(F1994-30))*G1994)</f>
        <v>1.2807600000000001</v>
      </c>
      <c r="I1994" s="380"/>
      <c r="J1994" s="631"/>
      <c r="K1994" s="593">
        <f t="shared" si="449"/>
        <v>0</v>
      </c>
      <c r="L1994" s="594"/>
      <c r="M1994" s="600"/>
      <c r="N1994" s="600">
        <v>0</v>
      </c>
      <c r="O1994" s="287">
        <f t="shared" si="535"/>
        <v>0</v>
      </c>
      <c r="P1994" s="287">
        <f t="shared" si="536"/>
        <v>0</v>
      </c>
      <c r="Q1994" s="288"/>
      <c r="R1994" s="311" t="str">
        <f>IF(P1993&gt;0,"xy","")</f>
        <v/>
      </c>
      <c r="S1994" s="378" t="str">
        <f t="shared" si="529"/>
        <v/>
      </c>
    </row>
    <row r="1995" spans="2:19" hidden="1" x14ac:dyDescent="0.2">
      <c r="B1995" s="730" t="s">
        <v>168</v>
      </c>
      <c r="C1995" s="300"/>
      <c r="D1995" s="383" t="s">
        <v>249</v>
      </c>
      <c r="E1995" s="704"/>
      <c r="F1995" s="661">
        <v>180</v>
      </c>
      <c r="G1995" s="665">
        <v>2.1000000000000001E-2</v>
      </c>
      <c r="H1995" s="663">
        <f t="shared" ref="H1995" si="538">IF(F1995&lt;=30,(1.05*F1995+2.18)*G1995,((1.05*30+2.18)+0.87*(F1995-30))*G1995)</f>
        <v>3.4477800000000003</v>
      </c>
      <c r="I1995" s="380"/>
      <c r="J1995" s="631"/>
      <c r="K1995" s="593">
        <f t="shared" si="449"/>
        <v>0</v>
      </c>
      <c r="L1995" s="594"/>
      <c r="M1995" s="600"/>
      <c r="N1995" s="600">
        <v>0</v>
      </c>
      <c r="O1995" s="287">
        <f t="shared" si="535"/>
        <v>0</v>
      </c>
      <c r="P1995" s="287">
        <f t="shared" si="536"/>
        <v>0</v>
      </c>
      <c r="Q1995" s="288"/>
      <c r="R1995" s="311" t="str">
        <f>IF(P1993&gt;0,"xy","")</f>
        <v/>
      </c>
      <c r="S1995" s="378" t="str">
        <f t="shared" si="529"/>
        <v/>
      </c>
    </row>
    <row r="1996" spans="2:19" hidden="1" x14ac:dyDescent="0.2">
      <c r="B1996" s="730" t="s">
        <v>168</v>
      </c>
      <c r="C1996" s="300"/>
      <c r="D1996" s="383" t="s">
        <v>349</v>
      </c>
      <c r="E1996" s="704"/>
      <c r="F1996" s="661">
        <v>20</v>
      </c>
      <c r="G1996" s="665">
        <v>0.83499999999999996</v>
      </c>
      <c r="H1996" s="663">
        <f>IF(F1996&lt;=30,(1.05*F1996+2.18)*G1996,((1.05*30+2.18)+0.87*(F1996-30))*G1996)</f>
        <v>19.3553</v>
      </c>
      <c r="I1996" s="380"/>
      <c r="J1996" s="631"/>
      <c r="K1996" s="593">
        <f t="shared" si="449"/>
        <v>0</v>
      </c>
      <c r="L1996" s="594"/>
      <c r="M1996" s="600"/>
      <c r="N1996" s="600">
        <v>0</v>
      </c>
      <c r="O1996" s="287">
        <f t="shared" si="535"/>
        <v>0</v>
      </c>
      <c r="P1996" s="287">
        <f t="shared" si="536"/>
        <v>0</v>
      </c>
      <c r="Q1996" s="288"/>
      <c r="R1996" s="243" t="str">
        <f>IF(P1993&gt;0,"xy","")</f>
        <v/>
      </c>
      <c r="S1996" s="378" t="str">
        <f t="shared" si="529"/>
        <v/>
      </c>
    </row>
    <row r="1997" spans="2:19" hidden="1" x14ac:dyDescent="0.2">
      <c r="B1997" s="730" t="s">
        <v>1883</v>
      </c>
      <c r="C1997" s="300" t="s">
        <v>207</v>
      </c>
      <c r="D1997" s="383" t="s">
        <v>381</v>
      </c>
      <c r="E1997" s="704"/>
      <c r="F1997" s="661"/>
      <c r="G1997" s="665"/>
      <c r="H1997" s="664">
        <f>SUM(H1998:H2000)</f>
        <v>28.854247999999998</v>
      </c>
      <c r="I1997" s="380">
        <v>454.97</v>
      </c>
      <c r="J1997" s="631">
        <f t="shared" ref="J1997" si="539">IF(ISBLANK(I1997),"",SUM(H1997:I1997))</f>
        <v>483.82424800000001</v>
      </c>
      <c r="K1997" s="593">
        <f t="shared" si="449"/>
        <v>613.25</v>
      </c>
      <c r="L1997" s="594" t="s">
        <v>19</v>
      </c>
      <c r="M1997" s="30"/>
      <c r="N1997" s="30">
        <v>613.25</v>
      </c>
      <c r="O1997" s="287">
        <f t="shared" si="535"/>
        <v>0</v>
      </c>
      <c r="P1997" s="287">
        <f t="shared" si="536"/>
        <v>0</v>
      </c>
      <c r="Q1997" s="288"/>
      <c r="S1997" s="378" t="str">
        <f t="shared" si="529"/>
        <v/>
      </c>
    </row>
    <row r="1998" spans="2:19" hidden="1" x14ac:dyDescent="0.2">
      <c r="B1998" s="730" t="s">
        <v>168</v>
      </c>
      <c r="C1998" s="300"/>
      <c r="D1998" s="383" t="s">
        <v>213</v>
      </c>
      <c r="E1998" s="704"/>
      <c r="F1998" s="661">
        <v>500</v>
      </c>
      <c r="G1998" s="665">
        <v>4.7999999999999996E-3</v>
      </c>
      <c r="H1998" s="664">
        <f>IF(F1998&lt;=30,(0.75*F1998+6.29)*G1998,((0.75*30+6.29)+0.62*(F1998-30))*G1998)</f>
        <v>1.5369119999999998</v>
      </c>
      <c r="I1998" s="380"/>
      <c r="J1998" s="631"/>
      <c r="K1998" s="593">
        <f t="shared" si="449"/>
        <v>0</v>
      </c>
      <c r="L1998" s="594"/>
      <c r="M1998" s="600"/>
      <c r="N1998" s="600">
        <v>0</v>
      </c>
      <c r="O1998" s="287">
        <f t="shared" si="535"/>
        <v>0</v>
      </c>
      <c r="P1998" s="287">
        <f t="shared" si="536"/>
        <v>0</v>
      </c>
      <c r="Q1998" s="288"/>
      <c r="R1998" s="311" t="str">
        <f>IF(P1997&gt;0,"xy","")</f>
        <v/>
      </c>
      <c r="S1998" s="378" t="str">
        <f t="shared" si="529"/>
        <v/>
      </c>
    </row>
    <row r="1999" spans="2:19" hidden="1" x14ac:dyDescent="0.2">
      <c r="B1999" s="730" t="s">
        <v>168</v>
      </c>
      <c r="C1999" s="300"/>
      <c r="D1999" s="383" t="s">
        <v>249</v>
      </c>
      <c r="E1999" s="704"/>
      <c r="F1999" s="661">
        <v>180</v>
      </c>
      <c r="G1999" s="665">
        <v>2.52E-2</v>
      </c>
      <c r="H1999" s="663">
        <f t="shared" ref="H1999" si="540">IF(F1999&lt;=30,(1.05*F1999+2.18)*G1999,((1.05*30+2.18)+0.87*(F1999-30))*G1999)</f>
        <v>4.1373360000000003</v>
      </c>
      <c r="I1999" s="380"/>
      <c r="J1999" s="631"/>
      <c r="K1999" s="593">
        <f t="shared" si="449"/>
        <v>0</v>
      </c>
      <c r="L1999" s="594"/>
      <c r="M1999" s="600"/>
      <c r="N1999" s="600">
        <v>0</v>
      </c>
      <c r="O1999" s="287">
        <f t="shared" si="535"/>
        <v>0</v>
      </c>
      <c r="P1999" s="287">
        <f t="shared" si="536"/>
        <v>0</v>
      </c>
      <c r="Q1999" s="288"/>
      <c r="R1999" s="311" t="str">
        <f>IF(P1997&gt;0,"xy","")</f>
        <v/>
      </c>
      <c r="S1999" s="378" t="str">
        <f t="shared" si="529"/>
        <v/>
      </c>
    </row>
    <row r="2000" spans="2:19" hidden="1" x14ac:dyDescent="0.2">
      <c r="B2000" s="730" t="s">
        <v>168</v>
      </c>
      <c r="C2000" s="300"/>
      <c r="D2000" s="383" t="s">
        <v>349</v>
      </c>
      <c r="E2000" s="704"/>
      <c r="F2000" s="661">
        <v>20</v>
      </c>
      <c r="G2000" s="665">
        <v>1</v>
      </c>
      <c r="H2000" s="663">
        <f>IF(F2000&lt;=30,(1.05*F2000+2.18)*G2000,((1.05*30+2.18)+0.87*(F2000-30))*G2000)</f>
        <v>23.18</v>
      </c>
      <c r="I2000" s="380"/>
      <c r="J2000" s="631"/>
      <c r="K2000" s="593">
        <f t="shared" si="449"/>
        <v>0</v>
      </c>
      <c r="L2000" s="594"/>
      <c r="M2000" s="600"/>
      <c r="N2000" s="600">
        <v>0</v>
      </c>
      <c r="O2000" s="287">
        <f t="shared" si="535"/>
        <v>0</v>
      </c>
      <c r="P2000" s="287">
        <f t="shared" si="536"/>
        <v>0</v>
      </c>
      <c r="Q2000" s="288"/>
      <c r="R2000" s="243" t="str">
        <f>IF(P1997&gt;0,"xy","")</f>
        <v/>
      </c>
      <c r="S2000" s="378" t="str">
        <f t="shared" si="529"/>
        <v/>
      </c>
    </row>
    <row r="2001" spans="2:19" hidden="1" x14ac:dyDescent="0.2">
      <c r="B2001" s="730" t="s">
        <v>1886</v>
      </c>
      <c r="C2001" s="300" t="s">
        <v>207</v>
      </c>
      <c r="D2001" s="383" t="s">
        <v>382</v>
      </c>
      <c r="E2001" s="704"/>
      <c r="F2001" s="661"/>
      <c r="G2001" s="665"/>
      <c r="H2001" s="664">
        <f>SUM(H2002:H2004)</f>
        <v>40.976883000000001</v>
      </c>
      <c r="I2001" s="380">
        <v>684.42</v>
      </c>
      <c r="J2001" s="631">
        <f t="shared" ref="J2001" si="541">IF(ISBLANK(I2001),"",SUM(H2001:I2001))</f>
        <v>725.396883</v>
      </c>
      <c r="K2001" s="593">
        <f t="shared" si="449"/>
        <v>919.44</v>
      </c>
      <c r="L2001" s="594" t="s">
        <v>19</v>
      </c>
      <c r="M2001" s="30"/>
      <c r="N2001" s="30">
        <v>919.44</v>
      </c>
      <c r="O2001" s="287">
        <f t="shared" si="535"/>
        <v>0</v>
      </c>
      <c r="P2001" s="287">
        <f t="shared" si="536"/>
        <v>0</v>
      </c>
      <c r="Q2001" s="288"/>
      <c r="S2001" s="378" t="str">
        <f t="shared" si="529"/>
        <v/>
      </c>
    </row>
    <row r="2002" spans="2:19" hidden="1" x14ac:dyDescent="0.2">
      <c r="B2002" s="730" t="s">
        <v>168</v>
      </c>
      <c r="C2002" s="300"/>
      <c r="D2002" s="383" t="s">
        <v>213</v>
      </c>
      <c r="E2002" s="704"/>
      <c r="F2002" s="661">
        <v>500</v>
      </c>
      <c r="G2002" s="665">
        <v>6.4999999999999997E-3</v>
      </c>
      <c r="H2002" s="664">
        <f>IF(F2002&lt;=30,(0.75*F2002+6.29)*G2002,((0.75*30+6.29)+0.62*(F2002-30))*G2002)</f>
        <v>2.0812349999999999</v>
      </c>
      <c r="I2002" s="380"/>
      <c r="J2002" s="631"/>
      <c r="K2002" s="593">
        <f t="shared" si="449"/>
        <v>0</v>
      </c>
      <c r="L2002" s="594"/>
      <c r="M2002" s="600"/>
      <c r="N2002" s="600">
        <v>0</v>
      </c>
      <c r="O2002" s="287">
        <f t="shared" si="535"/>
        <v>0</v>
      </c>
      <c r="P2002" s="287">
        <f t="shared" si="536"/>
        <v>0</v>
      </c>
      <c r="Q2002" s="288"/>
      <c r="R2002" s="311" t="str">
        <f>IF(P2001&gt;0,"xy","")</f>
        <v/>
      </c>
      <c r="S2002" s="378" t="str">
        <f t="shared" si="529"/>
        <v/>
      </c>
    </row>
    <row r="2003" spans="2:19" hidden="1" x14ac:dyDescent="0.2">
      <c r="B2003" s="730" t="s">
        <v>168</v>
      </c>
      <c r="C2003" s="300"/>
      <c r="D2003" s="383" t="s">
        <v>249</v>
      </c>
      <c r="E2003" s="704"/>
      <c r="F2003" s="661">
        <v>180</v>
      </c>
      <c r="G2003" s="665">
        <v>3.3599999999999998E-2</v>
      </c>
      <c r="H2003" s="663">
        <f t="shared" ref="H2003" si="542">IF(F2003&lt;=30,(1.05*F2003+2.18)*G2003,((1.05*30+2.18)+0.87*(F2003-30))*G2003)</f>
        <v>5.5164479999999996</v>
      </c>
      <c r="I2003" s="380"/>
      <c r="J2003" s="631"/>
      <c r="K2003" s="593">
        <f t="shared" si="449"/>
        <v>0</v>
      </c>
      <c r="L2003" s="594"/>
      <c r="M2003" s="600"/>
      <c r="N2003" s="600">
        <v>0</v>
      </c>
      <c r="O2003" s="287">
        <f t="shared" si="535"/>
        <v>0</v>
      </c>
      <c r="P2003" s="287">
        <f t="shared" si="536"/>
        <v>0</v>
      </c>
      <c r="Q2003" s="288"/>
      <c r="R2003" s="311" t="str">
        <f>IF(P2001&gt;0,"xy","")</f>
        <v/>
      </c>
      <c r="S2003" s="378" t="str">
        <f t="shared" si="529"/>
        <v/>
      </c>
    </row>
    <row r="2004" spans="2:19" hidden="1" x14ac:dyDescent="0.2">
      <c r="B2004" s="730" t="s">
        <v>168</v>
      </c>
      <c r="C2004" s="300"/>
      <c r="D2004" s="383" t="s">
        <v>349</v>
      </c>
      <c r="E2004" s="704"/>
      <c r="F2004" s="661">
        <v>20</v>
      </c>
      <c r="G2004" s="665">
        <v>1.44</v>
      </c>
      <c r="H2004" s="663">
        <f>IF(F2004&lt;=30,(1.05*F2004+2.18)*G2004,((1.05*30+2.18)+0.87*(F2004-30))*G2004)</f>
        <v>33.379199999999997</v>
      </c>
      <c r="I2004" s="380"/>
      <c r="J2004" s="631"/>
      <c r="K2004" s="593">
        <f t="shared" si="449"/>
        <v>0</v>
      </c>
      <c r="L2004" s="594"/>
      <c r="M2004" s="600"/>
      <c r="N2004" s="600">
        <v>0</v>
      </c>
      <c r="O2004" s="287">
        <f t="shared" si="535"/>
        <v>0</v>
      </c>
      <c r="P2004" s="287">
        <f t="shared" si="536"/>
        <v>0</v>
      </c>
      <c r="Q2004" s="288"/>
      <c r="R2004" s="243" t="str">
        <f>IF(P2001&gt;0,"xy","")</f>
        <v/>
      </c>
      <c r="S2004" s="378" t="str">
        <f t="shared" si="529"/>
        <v/>
      </c>
    </row>
    <row r="2005" spans="2:19" hidden="1" x14ac:dyDescent="0.2">
      <c r="B2005" s="730" t="s">
        <v>1888</v>
      </c>
      <c r="C2005" s="300" t="s">
        <v>207</v>
      </c>
      <c r="D2005" s="383" t="s">
        <v>383</v>
      </c>
      <c r="E2005" s="704"/>
      <c r="F2005" s="661"/>
      <c r="G2005" s="665"/>
      <c r="H2005" s="664">
        <f>SUM(H2006:H2008)</f>
        <v>47.736098999999996</v>
      </c>
      <c r="I2005" s="380">
        <v>1019.53</v>
      </c>
      <c r="J2005" s="631">
        <f t="shared" ref="J2005" si="543">IF(ISBLANK(I2005),"",SUM(H2005:I2005))</f>
        <v>1067.2660989999999</v>
      </c>
      <c r="K2005" s="593">
        <f t="shared" si="449"/>
        <v>1352.76</v>
      </c>
      <c r="L2005" s="594" t="s">
        <v>19</v>
      </c>
      <c r="M2005" s="30"/>
      <c r="N2005" s="30">
        <v>1352.76</v>
      </c>
      <c r="O2005" s="287">
        <f t="shared" si="535"/>
        <v>0</v>
      </c>
      <c r="P2005" s="287">
        <f t="shared" si="536"/>
        <v>0</v>
      </c>
      <c r="Q2005" s="288"/>
      <c r="S2005" s="378" t="str">
        <f t="shared" si="529"/>
        <v/>
      </c>
    </row>
    <row r="2006" spans="2:19" hidden="1" x14ac:dyDescent="0.2">
      <c r="B2006" s="730" t="s">
        <v>168</v>
      </c>
      <c r="C2006" s="300"/>
      <c r="D2006" s="383" t="s">
        <v>213</v>
      </c>
      <c r="E2006" s="704"/>
      <c r="F2006" s="661">
        <v>500</v>
      </c>
      <c r="G2006" s="665">
        <v>8.0999999999999996E-3</v>
      </c>
      <c r="H2006" s="664">
        <f>IF(F2006&lt;=30,(0.75*F2006+6.29)*G2006,((0.75*30+6.29)+0.62*(F2006-30))*G2006)</f>
        <v>2.5935389999999998</v>
      </c>
      <c r="I2006" s="380"/>
      <c r="J2006" s="631"/>
      <c r="K2006" s="593">
        <f t="shared" si="449"/>
        <v>0</v>
      </c>
      <c r="L2006" s="594"/>
      <c r="M2006" s="600"/>
      <c r="N2006" s="600">
        <v>0</v>
      </c>
      <c r="O2006" s="287">
        <f t="shared" si="535"/>
        <v>0</v>
      </c>
      <c r="P2006" s="287">
        <f t="shared" si="536"/>
        <v>0</v>
      </c>
      <c r="Q2006" s="288"/>
      <c r="R2006" s="311" t="str">
        <f>IF(P2005&gt;0,"xy","")</f>
        <v/>
      </c>
      <c r="S2006" s="378" t="str">
        <f t="shared" si="529"/>
        <v/>
      </c>
    </row>
    <row r="2007" spans="2:19" hidden="1" x14ac:dyDescent="0.2">
      <c r="B2007" s="730" t="s">
        <v>168</v>
      </c>
      <c r="C2007" s="300"/>
      <c r="D2007" s="383" t="s">
        <v>249</v>
      </c>
      <c r="E2007" s="704"/>
      <c r="F2007" s="661">
        <v>180</v>
      </c>
      <c r="G2007" s="665">
        <v>4.2000000000000003E-2</v>
      </c>
      <c r="H2007" s="663">
        <f t="shared" ref="H2007" si="544">IF(F2007&lt;=30,(1.05*F2007+2.18)*G2007,((1.05*30+2.18)+0.87*(F2007-30))*G2007)</f>
        <v>6.8955600000000006</v>
      </c>
      <c r="I2007" s="380"/>
      <c r="J2007" s="631"/>
      <c r="K2007" s="593">
        <f t="shared" si="449"/>
        <v>0</v>
      </c>
      <c r="L2007" s="594"/>
      <c r="M2007" s="600"/>
      <c r="N2007" s="600">
        <v>0</v>
      </c>
      <c r="O2007" s="287">
        <f t="shared" si="535"/>
        <v>0</v>
      </c>
      <c r="P2007" s="287">
        <f t="shared" si="536"/>
        <v>0</v>
      </c>
      <c r="Q2007" s="288"/>
      <c r="R2007" s="311" t="str">
        <f>IF(P2005&gt;0,"xy","")</f>
        <v/>
      </c>
      <c r="S2007" s="378" t="str">
        <f t="shared" si="529"/>
        <v/>
      </c>
    </row>
    <row r="2008" spans="2:19" hidden="1" x14ac:dyDescent="0.2">
      <c r="B2008" s="730" t="s">
        <v>168</v>
      </c>
      <c r="C2008" s="300"/>
      <c r="D2008" s="383" t="s">
        <v>349</v>
      </c>
      <c r="E2008" s="704"/>
      <c r="F2008" s="661">
        <v>20</v>
      </c>
      <c r="G2008" s="665">
        <v>1.65</v>
      </c>
      <c r="H2008" s="663">
        <f>IF(F2008&lt;=30,(1.05*F2008+2.18)*G2008,((1.05*30+2.18)+0.87*(F2008-30))*G2008)</f>
        <v>38.247</v>
      </c>
      <c r="I2008" s="380"/>
      <c r="J2008" s="631"/>
      <c r="K2008" s="593">
        <f t="shared" si="449"/>
        <v>0</v>
      </c>
      <c r="L2008" s="594"/>
      <c r="M2008" s="600"/>
      <c r="N2008" s="600">
        <v>0</v>
      </c>
      <c r="O2008" s="287">
        <f t="shared" si="535"/>
        <v>0</v>
      </c>
      <c r="P2008" s="287">
        <f t="shared" si="536"/>
        <v>0</v>
      </c>
      <c r="Q2008" s="288"/>
      <c r="R2008" s="243" t="str">
        <f>IF(P2005&gt;0,"xy","")</f>
        <v/>
      </c>
      <c r="S2008" s="378" t="str">
        <f t="shared" si="529"/>
        <v/>
      </c>
    </row>
    <row r="2009" spans="2:19" hidden="1" x14ac:dyDescent="0.2">
      <c r="B2009" s="730" t="s">
        <v>1889</v>
      </c>
      <c r="C2009" s="300" t="s">
        <v>207</v>
      </c>
      <c r="D2009" s="383" t="s">
        <v>384</v>
      </c>
      <c r="E2009" s="704"/>
      <c r="F2009" s="661"/>
      <c r="G2009" s="665"/>
      <c r="H2009" s="664">
        <f>SUM(H2010:H2012)</f>
        <v>57.603435999999995</v>
      </c>
      <c r="I2009" s="380">
        <v>1254.4516000000001</v>
      </c>
      <c r="J2009" s="631">
        <f t="shared" ref="J2009" si="545">IF(ISBLANK(I2009),"",SUM(H2009:I2009))</f>
        <v>1312.0550360000002</v>
      </c>
      <c r="K2009" s="593">
        <f t="shared" si="449"/>
        <v>1663.03</v>
      </c>
      <c r="L2009" s="594" t="s">
        <v>19</v>
      </c>
      <c r="M2009" s="30"/>
      <c r="N2009" s="30">
        <v>1663.03</v>
      </c>
      <c r="O2009" s="287">
        <f t="shared" si="535"/>
        <v>0</v>
      </c>
      <c r="P2009" s="287">
        <f t="shared" si="536"/>
        <v>0</v>
      </c>
      <c r="Q2009" s="288"/>
      <c r="S2009" s="378" t="str">
        <f t="shared" si="529"/>
        <v/>
      </c>
    </row>
    <row r="2010" spans="2:19" hidden="1" x14ac:dyDescent="0.2">
      <c r="B2010" s="730" t="s">
        <v>168</v>
      </c>
      <c r="C2010" s="300"/>
      <c r="D2010" s="383" t="s">
        <v>213</v>
      </c>
      <c r="E2010" s="704"/>
      <c r="F2010" s="661">
        <v>500</v>
      </c>
      <c r="G2010" s="665">
        <v>9.1999999999999998E-3</v>
      </c>
      <c r="H2010" s="664">
        <f>IF(F2010&lt;=30,(0.75*F2010+6.29)*G2010,((0.75*30+6.29)+0.62*(F2010-30))*G2010)</f>
        <v>2.945748</v>
      </c>
      <c r="I2010" s="380"/>
      <c r="J2010" s="631"/>
      <c r="K2010" s="593">
        <f t="shared" si="449"/>
        <v>0</v>
      </c>
      <c r="L2010" s="594"/>
      <c r="M2010" s="600"/>
      <c r="N2010" s="600">
        <v>0</v>
      </c>
      <c r="O2010" s="287">
        <f t="shared" si="535"/>
        <v>0</v>
      </c>
      <c r="P2010" s="287">
        <f t="shared" si="536"/>
        <v>0</v>
      </c>
      <c r="Q2010" s="288"/>
      <c r="R2010" s="311" t="str">
        <f>IF(P2009&gt;0,"xy","")</f>
        <v/>
      </c>
      <c r="S2010" s="378" t="str">
        <f t="shared" si="529"/>
        <v/>
      </c>
    </row>
    <row r="2011" spans="2:19" hidden="1" x14ac:dyDescent="0.2">
      <c r="B2011" s="730" t="s">
        <v>168</v>
      </c>
      <c r="C2011" s="300"/>
      <c r="D2011" s="383" t="s">
        <v>249</v>
      </c>
      <c r="E2011" s="704"/>
      <c r="F2011" s="661">
        <v>180</v>
      </c>
      <c r="G2011" s="665">
        <v>4.7899999999999998E-2</v>
      </c>
      <c r="H2011" s="663">
        <f t="shared" ref="H2011" si="546">IF(F2011&lt;=30,(1.05*F2011+2.18)*G2011,((1.05*30+2.18)+0.87*(F2011-30))*G2011)</f>
        <v>7.8642219999999998</v>
      </c>
      <c r="I2011" s="380"/>
      <c r="J2011" s="631"/>
      <c r="K2011" s="593">
        <f t="shared" si="449"/>
        <v>0</v>
      </c>
      <c r="L2011" s="594"/>
      <c r="M2011" s="600"/>
      <c r="N2011" s="600">
        <v>0</v>
      </c>
      <c r="O2011" s="287">
        <f t="shared" si="535"/>
        <v>0</v>
      </c>
      <c r="P2011" s="287">
        <f t="shared" si="536"/>
        <v>0</v>
      </c>
      <c r="Q2011" s="288"/>
      <c r="R2011" s="311" t="str">
        <f>IF(P2009&gt;0,"xy","")</f>
        <v/>
      </c>
      <c r="S2011" s="378" t="str">
        <f t="shared" si="529"/>
        <v/>
      </c>
    </row>
    <row r="2012" spans="2:19" hidden="1" x14ac:dyDescent="0.2">
      <c r="B2012" s="730" t="s">
        <v>168</v>
      </c>
      <c r="C2012" s="300"/>
      <c r="D2012" s="383" t="s">
        <v>349</v>
      </c>
      <c r="E2012" s="704"/>
      <c r="F2012" s="661">
        <v>20</v>
      </c>
      <c r="G2012" s="665">
        <v>2.0186999999999999</v>
      </c>
      <c r="H2012" s="663">
        <f>IF(F2012&lt;=30,(1.05*F2012+2.18)*G2012,((1.05*30+2.18)+0.87*(F2012-30))*G2012)</f>
        <v>46.793465999999995</v>
      </c>
      <c r="I2012" s="380"/>
      <c r="J2012" s="631"/>
      <c r="K2012" s="593">
        <f t="shared" si="449"/>
        <v>0</v>
      </c>
      <c r="L2012" s="594"/>
      <c r="M2012" s="600"/>
      <c r="N2012" s="600">
        <v>0</v>
      </c>
      <c r="O2012" s="287">
        <f t="shared" si="535"/>
        <v>0</v>
      </c>
      <c r="P2012" s="287">
        <f t="shared" si="536"/>
        <v>0</v>
      </c>
      <c r="Q2012" s="288"/>
      <c r="R2012" s="243" t="str">
        <f>IF(P2009&gt;0,"xy","")</f>
        <v/>
      </c>
      <c r="S2012" s="378" t="str">
        <f t="shared" si="529"/>
        <v/>
      </c>
    </row>
    <row r="2013" spans="2:19" hidden="1" x14ac:dyDescent="0.2">
      <c r="B2013" s="730" t="s">
        <v>1892</v>
      </c>
      <c r="C2013" s="300" t="s">
        <v>207</v>
      </c>
      <c r="D2013" s="383" t="s">
        <v>385</v>
      </c>
      <c r="E2013" s="704"/>
      <c r="F2013" s="661"/>
      <c r="G2013" s="665"/>
      <c r="H2013" s="664">
        <f>SUM(H2014:H2016)</f>
        <v>61.217514999999999</v>
      </c>
      <c r="I2013" s="380">
        <v>1753.6599999999999</v>
      </c>
      <c r="J2013" s="631">
        <f t="shared" ref="J2013" si="547">IF(ISBLANK(I2013),"",SUM(H2013:I2013))</f>
        <v>1814.8775149999999</v>
      </c>
      <c r="K2013" s="593">
        <f t="shared" si="449"/>
        <v>2300.36</v>
      </c>
      <c r="L2013" s="594" t="s">
        <v>19</v>
      </c>
      <c r="M2013" s="30"/>
      <c r="N2013" s="30">
        <v>2300.36</v>
      </c>
      <c r="O2013" s="287">
        <f t="shared" si="535"/>
        <v>0</v>
      </c>
      <c r="P2013" s="287">
        <f t="shared" si="536"/>
        <v>0</v>
      </c>
      <c r="Q2013" s="288"/>
      <c r="S2013" s="378" t="str">
        <f t="shared" si="529"/>
        <v/>
      </c>
    </row>
    <row r="2014" spans="2:19" hidden="1" x14ac:dyDescent="0.2">
      <c r="B2014" s="730" t="s">
        <v>168</v>
      </c>
      <c r="C2014" s="300"/>
      <c r="D2014" s="383" t="s">
        <v>213</v>
      </c>
      <c r="E2014" s="704"/>
      <c r="F2014" s="661">
        <v>500</v>
      </c>
      <c r="G2014" s="665">
        <v>9.7000000000000003E-3</v>
      </c>
      <c r="H2014" s="664">
        <f>IF(F2014&lt;=30,(0.75*F2014+6.29)*G2014,((0.75*30+6.29)+0.62*(F2014-30))*G2014)</f>
        <v>3.1058430000000001</v>
      </c>
      <c r="I2014" s="380"/>
      <c r="J2014" s="631"/>
      <c r="K2014" s="593">
        <f t="shared" si="449"/>
        <v>0</v>
      </c>
      <c r="L2014" s="594"/>
      <c r="M2014" s="600"/>
      <c r="N2014" s="600">
        <v>0</v>
      </c>
      <c r="O2014" s="287">
        <f t="shared" si="535"/>
        <v>0</v>
      </c>
      <c r="P2014" s="287">
        <f t="shared" si="536"/>
        <v>0</v>
      </c>
      <c r="Q2014" s="288"/>
      <c r="R2014" s="311" t="str">
        <f>IF(P2013&gt;0,"xy","")</f>
        <v/>
      </c>
      <c r="S2014" s="378" t="str">
        <f t="shared" si="529"/>
        <v/>
      </c>
    </row>
    <row r="2015" spans="2:19" hidden="1" x14ac:dyDescent="0.2">
      <c r="B2015" s="730" t="s">
        <v>168</v>
      </c>
      <c r="C2015" s="300"/>
      <c r="D2015" s="383" t="s">
        <v>249</v>
      </c>
      <c r="E2015" s="704"/>
      <c r="F2015" s="661">
        <v>180</v>
      </c>
      <c r="G2015" s="665">
        <v>5.04E-2</v>
      </c>
      <c r="H2015" s="663">
        <f t="shared" ref="H2015" si="548">IF(F2015&lt;=30,(1.05*F2015+2.18)*G2015,((1.05*30+2.18)+0.87*(F2015-30))*G2015)</f>
        <v>8.2746720000000007</v>
      </c>
      <c r="I2015" s="380"/>
      <c r="J2015" s="631"/>
      <c r="K2015" s="593">
        <f t="shared" si="449"/>
        <v>0</v>
      </c>
      <c r="L2015" s="594"/>
      <c r="M2015" s="600"/>
      <c r="N2015" s="600">
        <v>0</v>
      </c>
      <c r="O2015" s="287">
        <f t="shared" si="535"/>
        <v>0</v>
      </c>
      <c r="P2015" s="287">
        <f t="shared" si="536"/>
        <v>0</v>
      </c>
      <c r="Q2015" s="288"/>
      <c r="R2015" s="311" t="str">
        <f>IF(P2013&gt;0,"xy","")</f>
        <v/>
      </c>
      <c r="S2015" s="378" t="str">
        <f t="shared" si="529"/>
        <v/>
      </c>
    </row>
    <row r="2016" spans="2:19" hidden="1" x14ac:dyDescent="0.2">
      <c r="B2016" s="730" t="s">
        <v>168</v>
      </c>
      <c r="C2016" s="300"/>
      <c r="D2016" s="383" t="s">
        <v>349</v>
      </c>
      <c r="E2016" s="704"/>
      <c r="F2016" s="661">
        <v>20</v>
      </c>
      <c r="G2016" s="665">
        <v>2.15</v>
      </c>
      <c r="H2016" s="663">
        <f>IF(F2016&lt;=30,(1.05*F2016+2.18)*G2016,((1.05*30+2.18)+0.87*(F2016-30))*G2016)</f>
        <v>49.836999999999996</v>
      </c>
      <c r="I2016" s="380"/>
      <c r="J2016" s="631"/>
      <c r="K2016" s="593">
        <f t="shared" si="449"/>
        <v>0</v>
      </c>
      <c r="L2016" s="594"/>
      <c r="M2016" s="600"/>
      <c r="N2016" s="600">
        <v>0</v>
      </c>
      <c r="O2016" s="287">
        <f t="shared" si="535"/>
        <v>0</v>
      </c>
      <c r="P2016" s="287">
        <f t="shared" si="536"/>
        <v>0</v>
      </c>
      <c r="Q2016" s="288"/>
      <c r="R2016" s="243" t="str">
        <f>IF(P2013&gt;0,"xy","")</f>
        <v/>
      </c>
      <c r="S2016" s="378" t="str">
        <f t="shared" si="529"/>
        <v/>
      </c>
    </row>
    <row r="2017" spans="2:19" hidden="1" x14ac:dyDescent="0.2">
      <c r="B2017" s="730" t="s">
        <v>1866</v>
      </c>
      <c r="C2017" s="300" t="s">
        <v>207</v>
      </c>
      <c r="D2017" s="383" t="s">
        <v>386</v>
      </c>
      <c r="E2017" s="704"/>
      <c r="F2017" s="661"/>
      <c r="G2017" s="665"/>
      <c r="H2017" s="664">
        <f>SUM(H2018:H2020)</f>
        <v>5.8894210000000005</v>
      </c>
      <c r="I2017" s="380">
        <v>121.96</v>
      </c>
      <c r="J2017" s="631">
        <f t="shared" ref="J2017" si="549">IF(ISBLANK(I2017),"",SUM(H2017:I2017))</f>
        <v>127.84942099999999</v>
      </c>
      <c r="K2017" s="593">
        <f t="shared" si="449"/>
        <v>162.05000000000001</v>
      </c>
      <c r="L2017" s="594" t="s">
        <v>19</v>
      </c>
      <c r="M2017" s="30"/>
      <c r="N2017" s="30">
        <v>162.05000000000001</v>
      </c>
      <c r="O2017" s="287">
        <f t="shared" si="535"/>
        <v>0</v>
      </c>
      <c r="P2017" s="287">
        <f t="shared" si="536"/>
        <v>0</v>
      </c>
      <c r="Q2017" s="288"/>
      <c r="S2017" s="378" t="str">
        <f t="shared" si="529"/>
        <v/>
      </c>
    </row>
    <row r="2018" spans="2:19" hidden="1" x14ac:dyDescent="0.2">
      <c r="B2018" s="730" t="s">
        <v>168</v>
      </c>
      <c r="C2018" s="300"/>
      <c r="D2018" s="383" t="s">
        <v>213</v>
      </c>
      <c r="E2018" s="704"/>
      <c r="F2018" s="661">
        <v>500</v>
      </c>
      <c r="G2018" s="665">
        <v>1.9E-3</v>
      </c>
      <c r="H2018" s="664">
        <f>IF(F2018&lt;=30,(0.75*F2018+6.29)*G2018,((0.75*30+6.29)+0.62*(F2018-30))*G2018)</f>
        <v>0.60836100000000004</v>
      </c>
      <c r="I2018" s="380"/>
      <c r="J2018" s="631"/>
      <c r="K2018" s="593">
        <f t="shared" si="449"/>
        <v>0</v>
      </c>
      <c r="L2018" s="594"/>
      <c r="M2018" s="600"/>
      <c r="N2018" s="600">
        <v>0</v>
      </c>
      <c r="O2018" s="287">
        <f t="shared" si="535"/>
        <v>0</v>
      </c>
      <c r="P2018" s="287">
        <f t="shared" si="536"/>
        <v>0</v>
      </c>
      <c r="Q2018" s="288"/>
      <c r="R2018" s="311" t="str">
        <f>IF(P2017&gt;0,"xy","")</f>
        <v/>
      </c>
      <c r="S2018" s="378" t="str">
        <f t="shared" si="529"/>
        <v/>
      </c>
    </row>
    <row r="2019" spans="2:19" hidden="1" x14ac:dyDescent="0.2">
      <c r="B2019" s="730" t="s">
        <v>168</v>
      </c>
      <c r="C2019" s="300"/>
      <c r="D2019" s="383" t="s">
        <v>249</v>
      </c>
      <c r="E2019" s="704"/>
      <c r="F2019" s="661">
        <v>180</v>
      </c>
      <c r="G2019" s="665">
        <v>0.01</v>
      </c>
      <c r="H2019" s="663">
        <f t="shared" ref="H2019" si="550">IF(F2019&lt;=30,(1.05*F2019+2.18)*G2019,((1.05*30+2.18)+0.87*(F2019-30))*G2019)</f>
        <v>1.6418000000000001</v>
      </c>
      <c r="I2019" s="380"/>
      <c r="J2019" s="631"/>
      <c r="K2019" s="593">
        <f t="shared" si="449"/>
        <v>0</v>
      </c>
      <c r="L2019" s="594"/>
      <c r="M2019" s="600"/>
      <c r="N2019" s="600">
        <v>0</v>
      </c>
      <c r="O2019" s="287">
        <f t="shared" si="535"/>
        <v>0</v>
      </c>
      <c r="P2019" s="287">
        <f t="shared" si="536"/>
        <v>0</v>
      </c>
      <c r="Q2019" s="288"/>
      <c r="R2019" s="311" t="str">
        <f>IF(P2017&gt;0,"xy","")</f>
        <v/>
      </c>
      <c r="S2019" s="378" t="str">
        <f t="shared" si="529"/>
        <v/>
      </c>
    </row>
    <row r="2020" spans="2:19" hidden="1" x14ac:dyDescent="0.2">
      <c r="B2020" s="730" t="s">
        <v>168</v>
      </c>
      <c r="C2020" s="300"/>
      <c r="D2020" s="383" t="s">
        <v>349</v>
      </c>
      <c r="E2020" s="704"/>
      <c r="F2020" s="661">
        <v>20</v>
      </c>
      <c r="G2020" s="665">
        <v>0.157</v>
      </c>
      <c r="H2020" s="663">
        <f>IF(F2020&lt;=30,(1.05*F2020+2.18)*G2020,((1.05*30+2.18)+0.87*(F2020-30))*G2020)</f>
        <v>3.6392600000000002</v>
      </c>
      <c r="I2020" s="380"/>
      <c r="J2020" s="631"/>
      <c r="K2020" s="593">
        <f t="shared" si="449"/>
        <v>0</v>
      </c>
      <c r="L2020" s="594"/>
      <c r="M2020" s="600"/>
      <c r="N2020" s="600">
        <v>0</v>
      </c>
      <c r="O2020" s="287">
        <f t="shared" si="535"/>
        <v>0</v>
      </c>
      <c r="P2020" s="287">
        <f t="shared" si="536"/>
        <v>0</v>
      </c>
      <c r="Q2020" s="288"/>
      <c r="R2020" s="243" t="str">
        <f>IF(P2017&gt;0,"xy","")</f>
        <v/>
      </c>
      <c r="S2020" s="378" t="str">
        <f t="shared" si="529"/>
        <v/>
      </c>
    </row>
    <row r="2021" spans="2:19" hidden="1" x14ac:dyDescent="0.2">
      <c r="B2021" s="730" t="s">
        <v>1871</v>
      </c>
      <c r="C2021" s="300" t="s">
        <v>207</v>
      </c>
      <c r="D2021" s="383" t="s">
        <v>723</v>
      </c>
      <c r="E2021" s="704"/>
      <c r="F2021" s="661"/>
      <c r="G2021" s="665"/>
      <c r="H2021" s="664">
        <f>SUM(H2022:H2024)</f>
        <v>8.4523429999999991</v>
      </c>
      <c r="I2021" s="380">
        <v>165.69</v>
      </c>
      <c r="J2021" s="631">
        <f t="shared" ref="J2021" si="551">IF(ISBLANK(I2021),"",SUM(H2021:I2021))</f>
        <v>174.14234299999998</v>
      </c>
      <c r="K2021" s="593">
        <f t="shared" si="449"/>
        <v>220.73</v>
      </c>
      <c r="L2021" s="594" t="s">
        <v>19</v>
      </c>
      <c r="M2021" s="30"/>
      <c r="N2021" s="30">
        <v>220.73</v>
      </c>
      <c r="O2021" s="287">
        <f t="shared" si="535"/>
        <v>0</v>
      </c>
      <c r="P2021" s="287">
        <f t="shared" si="536"/>
        <v>0</v>
      </c>
      <c r="Q2021" s="288"/>
      <c r="R2021" s="311" t="str">
        <f>IF(P141&gt;0,"xy","")</f>
        <v/>
      </c>
      <c r="S2021" s="378" t="str">
        <f t="shared" si="529"/>
        <v/>
      </c>
    </row>
    <row r="2022" spans="2:19" hidden="1" x14ac:dyDescent="0.2">
      <c r="B2022" s="730" t="s">
        <v>168</v>
      </c>
      <c r="C2022" s="300"/>
      <c r="D2022" s="383" t="s">
        <v>213</v>
      </c>
      <c r="E2022" s="704"/>
      <c r="F2022" s="661">
        <v>500</v>
      </c>
      <c r="G2022" s="665">
        <v>2.3E-3</v>
      </c>
      <c r="H2022" s="664">
        <f>IF(F2022&lt;=30,(0.75*F2022+6.29)*G2022,((0.75*30+6.29)+0.62*(F2022-30))*G2022)</f>
        <v>0.73643700000000001</v>
      </c>
      <c r="I2022" s="380"/>
      <c r="J2022" s="631"/>
      <c r="K2022" s="593">
        <f t="shared" si="449"/>
        <v>0</v>
      </c>
      <c r="L2022" s="594"/>
      <c r="M2022" s="600"/>
      <c r="N2022" s="600">
        <v>0</v>
      </c>
      <c r="O2022" s="287">
        <f t="shared" si="535"/>
        <v>0</v>
      </c>
      <c r="P2022" s="287">
        <f t="shared" si="536"/>
        <v>0</v>
      </c>
      <c r="Q2022" s="288"/>
      <c r="R2022" s="311" t="str">
        <f>IF(P141&gt;0,"xy","")</f>
        <v/>
      </c>
      <c r="S2022" s="378" t="str">
        <f t="shared" si="529"/>
        <v/>
      </c>
    </row>
    <row r="2023" spans="2:19" hidden="1" x14ac:dyDescent="0.2">
      <c r="B2023" s="730" t="s">
        <v>168</v>
      </c>
      <c r="C2023" s="300"/>
      <c r="D2023" s="383" t="s">
        <v>249</v>
      </c>
      <c r="E2023" s="704"/>
      <c r="F2023" s="661">
        <v>180</v>
      </c>
      <c r="G2023" s="665">
        <v>1.17E-2</v>
      </c>
      <c r="H2023" s="663">
        <f t="shared" ref="H2023" si="552">IF(F2023&lt;=30,(1.05*F2023+2.18)*G2023,((1.05*30+2.18)+0.87*(F2023-30))*G2023)</f>
        <v>1.9209060000000002</v>
      </c>
      <c r="I2023" s="380"/>
      <c r="J2023" s="631"/>
      <c r="K2023" s="593">
        <f t="shared" si="449"/>
        <v>0</v>
      </c>
      <c r="L2023" s="594"/>
      <c r="M2023" s="600"/>
      <c r="N2023" s="600">
        <v>0</v>
      </c>
      <c r="O2023" s="287">
        <f t="shared" si="535"/>
        <v>0</v>
      </c>
      <c r="P2023" s="287">
        <f t="shared" si="536"/>
        <v>0</v>
      </c>
      <c r="Q2023" s="288"/>
      <c r="R2023" s="311" t="str">
        <f>IF(P141&gt;0,"xy","")</f>
        <v/>
      </c>
      <c r="S2023" s="378" t="str">
        <f t="shared" si="529"/>
        <v/>
      </c>
    </row>
    <row r="2024" spans="2:19" hidden="1" x14ac:dyDescent="0.2">
      <c r="B2024" s="730" t="s">
        <v>168</v>
      </c>
      <c r="C2024" s="300"/>
      <c r="D2024" s="383" t="s">
        <v>349</v>
      </c>
      <c r="E2024" s="704"/>
      <c r="F2024" s="661">
        <v>20</v>
      </c>
      <c r="G2024" s="665">
        <v>0.25</v>
      </c>
      <c r="H2024" s="663">
        <f>IF(F2024&lt;=30,(1.05*F2024+2.18)*G2024,((1.05*30+2.18)+0.87*(F2024-30))*G2024)</f>
        <v>5.7949999999999999</v>
      </c>
      <c r="I2024" s="380"/>
      <c r="J2024" s="631"/>
      <c r="K2024" s="593">
        <f t="shared" si="449"/>
        <v>0</v>
      </c>
      <c r="L2024" s="594"/>
      <c r="M2024" s="600"/>
      <c r="N2024" s="600">
        <v>0</v>
      </c>
      <c r="O2024" s="287">
        <f t="shared" si="535"/>
        <v>0</v>
      </c>
      <c r="P2024" s="287">
        <f t="shared" si="536"/>
        <v>0</v>
      </c>
      <c r="Q2024" s="288"/>
      <c r="R2024" s="243"/>
      <c r="S2024" s="378" t="str">
        <f t="shared" si="529"/>
        <v/>
      </c>
    </row>
    <row r="2025" spans="2:19" hidden="1" x14ac:dyDescent="0.2">
      <c r="B2025" s="730" t="s">
        <v>1872</v>
      </c>
      <c r="C2025" s="300" t="s">
        <v>207</v>
      </c>
      <c r="D2025" s="383" t="s">
        <v>387</v>
      </c>
      <c r="E2025" s="704"/>
      <c r="F2025" s="661"/>
      <c r="G2025" s="665"/>
      <c r="H2025" s="664">
        <f>SUM(H2026:H2028)</f>
        <v>12.072706</v>
      </c>
      <c r="I2025" s="380">
        <v>209.42000000000002</v>
      </c>
      <c r="J2025" s="631">
        <f t="shared" ref="J2025" si="553">IF(ISBLANK(I2025),"",SUM(H2025:I2025))</f>
        <v>221.49270600000003</v>
      </c>
      <c r="K2025" s="593">
        <f t="shared" si="449"/>
        <v>280.74</v>
      </c>
      <c r="L2025" s="594" t="s">
        <v>19</v>
      </c>
      <c r="M2025" s="30"/>
      <c r="N2025" s="30">
        <v>280.74</v>
      </c>
      <c r="O2025" s="287">
        <f t="shared" si="535"/>
        <v>0</v>
      </c>
      <c r="P2025" s="287">
        <f t="shared" si="536"/>
        <v>0</v>
      </c>
      <c r="Q2025" s="288"/>
      <c r="S2025" s="378" t="str">
        <f t="shared" si="529"/>
        <v/>
      </c>
    </row>
    <row r="2026" spans="2:19" hidden="1" x14ac:dyDescent="0.2">
      <c r="B2026" s="730" t="s">
        <v>168</v>
      </c>
      <c r="C2026" s="300"/>
      <c r="D2026" s="383" t="s">
        <v>213</v>
      </c>
      <c r="E2026" s="704"/>
      <c r="F2026" s="661">
        <v>500</v>
      </c>
      <c r="G2026" s="665">
        <v>2.5999999999999999E-3</v>
      </c>
      <c r="H2026" s="664">
        <f>IF(F2026&lt;=30,(0.75*F2026+6.29)*G2026,((0.75*30+6.29)+0.62*(F2026-30))*G2026)</f>
        <v>0.83249399999999996</v>
      </c>
      <c r="I2026" s="380"/>
      <c r="J2026" s="631"/>
      <c r="K2026" s="593">
        <f t="shared" si="449"/>
        <v>0</v>
      </c>
      <c r="L2026" s="594"/>
      <c r="M2026" s="600"/>
      <c r="N2026" s="600">
        <v>0</v>
      </c>
      <c r="O2026" s="287">
        <f t="shared" si="535"/>
        <v>0</v>
      </c>
      <c r="P2026" s="287">
        <f t="shared" si="536"/>
        <v>0</v>
      </c>
      <c r="Q2026" s="288"/>
      <c r="R2026" s="311" t="str">
        <f>IF(P2025&gt;0,"xy","")</f>
        <v/>
      </c>
      <c r="S2026" s="378" t="str">
        <f t="shared" si="529"/>
        <v/>
      </c>
    </row>
    <row r="2027" spans="2:19" hidden="1" x14ac:dyDescent="0.2">
      <c r="B2027" s="730" t="s">
        <v>168</v>
      </c>
      <c r="C2027" s="300"/>
      <c r="D2027" s="383" t="s">
        <v>249</v>
      </c>
      <c r="E2027" s="704"/>
      <c r="F2027" s="661">
        <v>180</v>
      </c>
      <c r="G2027" s="665">
        <v>1.34E-2</v>
      </c>
      <c r="H2027" s="663">
        <f t="shared" ref="H2027" si="554">IF(F2027&lt;=30,(1.05*F2027+2.18)*G2027,((1.05*30+2.18)+0.87*(F2027-30))*G2027)</f>
        <v>2.2000120000000001</v>
      </c>
      <c r="I2027" s="380"/>
      <c r="J2027" s="631"/>
      <c r="K2027" s="593">
        <f t="shared" si="449"/>
        <v>0</v>
      </c>
      <c r="L2027" s="594"/>
      <c r="M2027" s="600"/>
      <c r="N2027" s="600">
        <v>0</v>
      </c>
      <c r="O2027" s="287">
        <f t="shared" si="535"/>
        <v>0</v>
      </c>
      <c r="P2027" s="287">
        <f t="shared" si="536"/>
        <v>0</v>
      </c>
      <c r="Q2027" s="288"/>
      <c r="R2027" s="311" t="str">
        <f>IF(P2025&gt;0,"xy","")</f>
        <v/>
      </c>
      <c r="S2027" s="378" t="str">
        <f t="shared" si="529"/>
        <v/>
      </c>
    </row>
    <row r="2028" spans="2:19" hidden="1" x14ac:dyDescent="0.2">
      <c r="B2028" s="730" t="s">
        <v>168</v>
      </c>
      <c r="C2028" s="300"/>
      <c r="D2028" s="383" t="s">
        <v>349</v>
      </c>
      <c r="E2028" s="704"/>
      <c r="F2028" s="661">
        <v>20</v>
      </c>
      <c r="G2028" s="665">
        <v>0.39</v>
      </c>
      <c r="H2028" s="663">
        <f>IF(F2028&lt;=30,(1.05*F2028+2.18)*G2028,((1.05*30+2.18)+0.87*(F2028-30))*G2028)</f>
        <v>9.0402000000000005</v>
      </c>
      <c r="I2028" s="380"/>
      <c r="J2028" s="631"/>
      <c r="K2028" s="593">
        <f t="shared" si="449"/>
        <v>0</v>
      </c>
      <c r="L2028" s="594"/>
      <c r="M2028" s="600"/>
      <c r="N2028" s="600">
        <v>0</v>
      </c>
      <c r="O2028" s="287">
        <f t="shared" si="535"/>
        <v>0</v>
      </c>
      <c r="P2028" s="287">
        <f t="shared" si="536"/>
        <v>0</v>
      </c>
      <c r="Q2028" s="288"/>
      <c r="R2028" s="243" t="str">
        <f>IF(P2025&gt;0,"xy","")</f>
        <v/>
      </c>
      <c r="S2028" s="378" t="str">
        <f t="shared" si="529"/>
        <v/>
      </c>
    </row>
    <row r="2029" spans="2:19" hidden="1" x14ac:dyDescent="0.2">
      <c r="B2029" s="730" t="s">
        <v>1876</v>
      </c>
      <c r="C2029" s="300" t="s">
        <v>207</v>
      </c>
      <c r="D2029" s="383" t="s">
        <v>724</v>
      </c>
      <c r="E2029" s="704"/>
      <c r="F2029" s="661"/>
      <c r="G2029" s="665"/>
      <c r="H2029" s="664">
        <f>SUM(H2030:H2032)</f>
        <v>15.693069000000001</v>
      </c>
      <c r="I2029" s="380">
        <v>295.71999999999997</v>
      </c>
      <c r="J2029" s="631">
        <f t="shared" ref="J2029" si="555">IF(ISBLANK(I2029),"",SUM(H2029:I2029))</f>
        <v>311.41306899999995</v>
      </c>
      <c r="K2029" s="593">
        <f t="shared" si="449"/>
        <v>394.72</v>
      </c>
      <c r="L2029" s="594" t="s">
        <v>19</v>
      </c>
      <c r="M2029" s="30"/>
      <c r="N2029" s="30">
        <v>394.72</v>
      </c>
      <c r="O2029" s="287">
        <f t="shared" si="535"/>
        <v>0</v>
      </c>
      <c r="P2029" s="287">
        <f t="shared" si="536"/>
        <v>0</v>
      </c>
      <c r="Q2029" s="288"/>
      <c r="S2029" s="378" t="str">
        <f t="shared" si="529"/>
        <v/>
      </c>
    </row>
    <row r="2030" spans="2:19" hidden="1" x14ac:dyDescent="0.2">
      <c r="B2030" s="730" t="s">
        <v>168</v>
      </c>
      <c r="C2030" s="300"/>
      <c r="D2030" s="383" t="s">
        <v>213</v>
      </c>
      <c r="E2030" s="704"/>
      <c r="F2030" s="661">
        <v>500</v>
      </c>
      <c r="G2030" s="665">
        <v>2.8999999999999998E-3</v>
      </c>
      <c r="H2030" s="664">
        <f>IF(F2030&lt;=30,(0.75*F2030+6.29)*G2030,((0.75*30+6.29)+0.62*(F2030-30))*G2030)</f>
        <v>0.9285509999999999</v>
      </c>
      <c r="I2030" s="380"/>
      <c r="J2030" s="631"/>
      <c r="K2030" s="593">
        <f t="shared" si="449"/>
        <v>0</v>
      </c>
      <c r="L2030" s="594"/>
      <c r="M2030" s="600"/>
      <c r="N2030" s="600">
        <v>0</v>
      </c>
      <c r="O2030" s="287">
        <f t="shared" si="535"/>
        <v>0</v>
      </c>
      <c r="P2030" s="287">
        <f t="shared" si="536"/>
        <v>0</v>
      </c>
      <c r="Q2030" s="288"/>
      <c r="R2030" s="311" t="str">
        <f>IF(P2029&gt;0,"xy","")</f>
        <v/>
      </c>
      <c r="S2030" s="378" t="str">
        <f t="shared" si="529"/>
        <v/>
      </c>
    </row>
    <row r="2031" spans="2:19" hidden="1" x14ac:dyDescent="0.2">
      <c r="B2031" s="730" t="s">
        <v>168</v>
      </c>
      <c r="C2031" s="300"/>
      <c r="D2031" s="383" t="s">
        <v>249</v>
      </c>
      <c r="E2031" s="704"/>
      <c r="F2031" s="661">
        <v>180</v>
      </c>
      <c r="G2031" s="665">
        <v>1.5100000000000001E-2</v>
      </c>
      <c r="H2031" s="663">
        <f t="shared" ref="H2031" si="556">IF(F2031&lt;=30,(1.05*F2031+2.18)*G2031,((1.05*30+2.18)+0.87*(F2031-30))*G2031)</f>
        <v>2.4791180000000002</v>
      </c>
      <c r="I2031" s="380"/>
      <c r="J2031" s="631"/>
      <c r="K2031" s="593">
        <f t="shared" si="449"/>
        <v>0</v>
      </c>
      <c r="L2031" s="594"/>
      <c r="M2031" s="600"/>
      <c r="N2031" s="600">
        <v>0</v>
      </c>
      <c r="O2031" s="287">
        <f t="shared" si="535"/>
        <v>0</v>
      </c>
      <c r="P2031" s="287">
        <f t="shared" si="536"/>
        <v>0</v>
      </c>
      <c r="Q2031" s="288"/>
      <c r="R2031" s="311" t="str">
        <f>IF(P2029&gt;0,"xy","")</f>
        <v/>
      </c>
      <c r="S2031" s="378" t="str">
        <f t="shared" si="529"/>
        <v/>
      </c>
    </row>
    <row r="2032" spans="2:19" hidden="1" x14ac:dyDescent="0.2">
      <c r="B2032" s="730" t="s">
        <v>168</v>
      </c>
      <c r="C2032" s="300"/>
      <c r="D2032" s="383" t="s">
        <v>349</v>
      </c>
      <c r="E2032" s="704"/>
      <c r="F2032" s="661">
        <v>20</v>
      </c>
      <c r="G2032" s="665">
        <v>0.53</v>
      </c>
      <c r="H2032" s="663">
        <f>IF(F2032&lt;=30,(1.05*F2032+2.18)*G2032,((1.05*30+2.18)+0.87*(F2032-30))*G2032)</f>
        <v>12.285400000000001</v>
      </c>
      <c r="I2032" s="380"/>
      <c r="J2032" s="631"/>
      <c r="K2032" s="593">
        <f t="shared" si="449"/>
        <v>0</v>
      </c>
      <c r="L2032" s="594"/>
      <c r="M2032" s="600"/>
      <c r="N2032" s="600">
        <v>0</v>
      </c>
      <c r="O2032" s="287">
        <f t="shared" si="535"/>
        <v>0</v>
      </c>
      <c r="P2032" s="287">
        <f t="shared" si="536"/>
        <v>0</v>
      </c>
      <c r="Q2032" s="288"/>
      <c r="R2032" s="243" t="str">
        <f>IF(P2029&gt;0,"xy","")</f>
        <v/>
      </c>
      <c r="S2032" s="378" t="str">
        <f t="shared" si="529"/>
        <v/>
      </c>
    </row>
    <row r="2033" spans="2:19" hidden="1" x14ac:dyDescent="0.2">
      <c r="B2033" s="730" t="s">
        <v>1877</v>
      </c>
      <c r="C2033" s="300" t="s">
        <v>207</v>
      </c>
      <c r="D2033" s="383" t="s">
        <v>388</v>
      </c>
      <c r="E2033" s="704"/>
      <c r="F2033" s="661"/>
      <c r="G2033" s="665"/>
      <c r="H2033" s="664">
        <f>SUM(H2034:H2036)</f>
        <v>19.313432000000002</v>
      </c>
      <c r="I2033" s="380">
        <v>382.02</v>
      </c>
      <c r="J2033" s="631">
        <f t="shared" ref="J2033" si="557">IF(ISBLANK(I2033),"",SUM(H2033:I2033))</f>
        <v>401.33343199999996</v>
      </c>
      <c r="K2033" s="593">
        <f t="shared" si="449"/>
        <v>508.69</v>
      </c>
      <c r="L2033" s="594" t="s">
        <v>19</v>
      </c>
      <c r="M2033" s="30"/>
      <c r="N2033" s="30">
        <v>508.69</v>
      </c>
      <c r="O2033" s="287">
        <f t="shared" si="535"/>
        <v>0</v>
      </c>
      <c r="P2033" s="287">
        <f t="shared" si="536"/>
        <v>0</v>
      </c>
      <c r="Q2033" s="288"/>
      <c r="S2033" s="378" t="str">
        <f t="shared" si="529"/>
        <v/>
      </c>
    </row>
    <row r="2034" spans="2:19" hidden="1" x14ac:dyDescent="0.2">
      <c r="B2034" s="730" t="s">
        <v>168</v>
      </c>
      <c r="C2034" s="300"/>
      <c r="D2034" s="383" t="s">
        <v>213</v>
      </c>
      <c r="E2034" s="704"/>
      <c r="F2034" s="661">
        <v>500</v>
      </c>
      <c r="G2034" s="665">
        <v>3.2000000000000002E-3</v>
      </c>
      <c r="H2034" s="664">
        <f>IF(F2034&lt;=30,(0.75*F2034+6.29)*G2034,((0.75*30+6.29)+0.62*(F2034-30))*G2034)</f>
        <v>1.024608</v>
      </c>
      <c r="I2034" s="380"/>
      <c r="J2034" s="631"/>
      <c r="K2034" s="593">
        <f t="shared" si="449"/>
        <v>0</v>
      </c>
      <c r="L2034" s="594"/>
      <c r="M2034" s="600"/>
      <c r="N2034" s="600">
        <v>0</v>
      </c>
      <c r="O2034" s="287">
        <f t="shared" si="535"/>
        <v>0</v>
      </c>
      <c r="P2034" s="287">
        <f t="shared" si="536"/>
        <v>0</v>
      </c>
      <c r="Q2034" s="288"/>
      <c r="R2034" s="311" t="str">
        <f>IF(P2033&gt;0,"xy","")</f>
        <v/>
      </c>
      <c r="S2034" s="378" t="str">
        <f t="shared" si="529"/>
        <v/>
      </c>
    </row>
    <row r="2035" spans="2:19" hidden="1" x14ac:dyDescent="0.2">
      <c r="B2035" s="730" t="s">
        <v>168</v>
      </c>
      <c r="C2035" s="300"/>
      <c r="D2035" s="383" t="s">
        <v>249</v>
      </c>
      <c r="E2035" s="704"/>
      <c r="F2035" s="661">
        <v>180</v>
      </c>
      <c r="G2035" s="665">
        <v>1.6799999999999999E-2</v>
      </c>
      <c r="H2035" s="663">
        <f t="shared" ref="H2035" si="558">IF(F2035&lt;=30,(1.05*F2035+2.18)*G2035,((1.05*30+2.18)+0.87*(F2035-30))*G2035)</f>
        <v>2.7582239999999998</v>
      </c>
      <c r="I2035" s="380"/>
      <c r="J2035" s="631"/>
      <c r="K2035" s="593">
        <f t="shared" si="449"/>
        <v>0</v>
      </c>
      <c r="L2035" s="594"/>
      <c r="M2035" s="600"/>
      <c r="N2035" s="600">
        <v>0</v>
      </c>
      <c r="O2035" s="287">
        <f t="shared" si="535"/>
        <v>0</v>
      </c>
      <c r="P2035" s="287">
        <f t="shared" si="536"/>
        <v>0</v>
      </c>
      <c r="Q2035" s="288"/>
      <c r="R2035" s="311" t="str">
        <f>IF(P2033&gt;0,"xy","")</f>
        <v/>
      </c>
      <c r="S2035" s="378" t="str">
        <f t="shared" si="529"/>
        <v/>
      </c>
    </row>
    <row r="2036" spans="2:19" hidden="1" x14ac:dyDescent="0.2">
      <c r="B2036" s="730" t="s">
        <v>168</v>
      </c>
      <c r="C2036" s="300"/>
      <c r="D2036" s="383" t="s">
        <v>349</v>
      </c>
      <c r="E2036" s="704"/>
      <c r="F2036" s="661">
        <v>20</v>
      </c>
      <c r="G2036" s="665">
        <v>0.67</v>
      </c>
      <c r="H2036" s="663">
        <f>IF(F2036&lt;=30,(1.05*F2036+2.18)*G2036,((1.05*30+2.18)+0.87*(F2036-30))*G2036)</f>
        <v>15.530600000000002</v>
      </c>
      <c r="I2036" s="380"/>
      <c r="J2036" s="631"/>
      <c r="K2036" s="593">
        <f t="shared" si="449"/>
        <v>0</v>
      </c>
      <c r="L2036" s="594"/>
      <c r="M2036" s="600"/>
      <c r="N2036" s="600">
        <v>0</v>
      </c>
      <c r="O2036" s="287">
        <f t="shared" si="535"/>
        <v>0</v>
      </c>
      <c r="P2036" s="287">
        <f t="shared" si="536"/>
        <v>0</v>
      </c>
      <c r="Q2036" s="288"/>
      <c r="R2036" s="243" t="str">
        <f>IF(P2033&gt;0,"xy","")</f>
        <v/>
      </c>
      <c r="S2036" s="378" t="str">
        <f t="shared" si="529"/>
        <v/>
      </c>
    </row>
    <row r="2037" spans="2:19" hidden="1" x14ac:dyDescent="0.2">
      <c r="B2037" s="730" t="s">
        <v>1884</v>
      </c>
      <c r="C2037" s="300" t="s">
        <v>207</v>
      </c>
      <c r="D2037" s="383" t="s">
        <v>725</v>
      </c>
      <c r="E2037" s="704"/>
      <c r="F2037" s="661"/>
      <c r="G2037" s="665"/>
      <c r="H2037" s="664">
        <f>SUM(H2038:H2040)</f>
        <v>24.083840000000002</v>
      </c>
      <c r="I2037" s="380">
        <v>432.08</v>
      </c>
      <c r="J2037" s="631">
        <f t="shared" ref="J2037" si="559">IF(ISBLANK(I2037),"",SUM(H2037:I2037))</f>
        <v>456.16383999999999</v>
      </c>
      <c r="K2037" s="593">
        <f t="shared" si="449"/>
        <v>578.19000000000005</v>
      </c>
      <c r="L2037" s="594" t="s">
        <v>19</v>
      </c>
      <c r="M2037" s="30"/>
      <c r="N2037" s="30">
        <v>578.19000000000005</v>
      </c>
      <c r="O2037" s="287">
        <f t="shared" si="535"/>
        <v>0</v>
      </c>
      <c r="P2037" s="287">
        <f t="shared" si="536"/>
        <v>0</v>
      </c>
      <c r="Q2037" s="288"/>
      <c r="S2037" s="378" t="str">
        <f t="shared" si="529"/>
        <v/>
      </c>
    </row>
    <row r="2038" spans="2:19" hidden="1" x14ac:dyDescent="0.2">
      <c r="B2038" s="730" t="s">
        <v>168</v>
      </c>
      <c r="C2038" s="300"/>
      <c r="D2038" s="383" t="s">
        <v>213</v>
      </c>
      <c r="E2038" s="704"/>
      <c r="F2038" s="661">
        <v>500</v>
      </c>
      <c r="G2038" s="665">
        <v>4.0000000000000001E-3</v>
      </c>
      <c r="H2038" s="664">
        <f>IF(F2038&lt;=30,(0.75*F2038+6.29)*G2038,((0.75*30+6.29)+0.62*(F2038-30))*G2038)</f>
        <v>1.2807600000000001</v>
      </c>
      <c r="I2038" s="380"/>
      <c r="J2038" s="631"/>
      <c r="K2038" s="593">
        <f t="shared" si="449"/>
        <v>0</v>
      </c>
      <c r="L2038" s="594"/>
      <c r="M2038" s="600"/>
      <c r="N2038" s="600">
        <v>0</v>
      </c>
      <c r="O2038" s="287">
        <f t="shared" si="535"/>
        <v>0</v>
      </c>
      <c r="P2038" s="287">
        <f t="shared" si="536"/>
        <v>0</v>
      </c>
      <c r="Q2038" s="288"/>
      <c r="R2038" s="311" t="str">
        <f>IF(P2037&gt;0,"xy","")</f>
        <v/>
      </c>
      <c r="S2038" s="378" t="str">
        <f t="shared" si="529"/>
        <v/>
      </c>
    </row>
    <row r="2039" spans="2:19" hidden="1" x14ac:dyDescent="0.2">
      <c r="B2039" s="730" t="s">
        <v>168</v>
      </c>
      <c r="C2039" s="300"/>
      <c r="D2039" s="383" t="s">
        <v>249</v>
      </c>
      <c r="E2039" s="704"/>
      <c r="F2039" s="661">
        <v>180</v>
      </c>
      <c r="G2039" s="665">
        <v>2.1000000000000001E-2</v>
      </c>
      <c r="H2039" s="663">
        <f t="shared" ref="H2039" si="560">IF(F2039&lt;=30,(1.05*F2039+2.18)*G2039,((1.05*30+2.18)+0.87*(F2039-30))*G2039)</f>
        <v>3.4477800000000003</v>
      </c>
      <c r="I2039" s="380"/>
      <c r="J2039" s="631"/>
      <c r="K2039" s="593">
        <f t="shared" si="449"/>
        <v>0</v>
      </c>
      <c r="L2039" s="594"/>
      <c r="M2039" s="600"/>
      <c r="N2039" s="600">
        <v>0</v>
      </c>
      <c r="O2039" s="287">
        <f t="shared" si="535"/>
        <v>0</v>
      </c>
      <c r="P2039" s="287">
        <f t="shared" si="536"/>
        <v>0</v>
      </c>
      <c r="Q2039" s="288"/>
      <c r="R2039" s="311" t="str">
        <f>IF(P2037&gt;0,"xy","")</f>
        <v/>
      </c>
      <c r="S2039" s="378" t="str">
        <f t="shared" si="529"/>
        <v/>
      </c>
    </row>
    <row r="2040" spans="2:19" hidden="1" x14ac:dyDescent="0.2">
      <c r="B2040" s="730" t="s">
        <v>168</v>
      </c>
      <c r="C2040" s="300"/>
      <c r="D2040" s="383" t="s">
        <v>349</v>
      </c>
      <c r="E2040" s="704"/>
      <c r="F2040" s="661">
        <v>20</v>
      </c>
      <c r="G2040" s="665">
        <v>0.83499999999999996</v>
      </c>
      <c r="H2040" s="663">
        <f>IF(F2040&lt;=30,(1.05*F2040+2.18)*G2040,((1.05*30+2.18)+0.87*(F2040-30))*G2040)</f>
        <v>19.3553</v>
      </c>
      <c r="I2040" s="380"/>
      <c r="J2040" s="631"/>
      <c r="K2040" s="593">
        <f t="shared" si="449"/>
        <v>0</v>
      </c>
      <c r="L2040" s="594"/>
      <c r="M2040" s="600"/>
      <c r="N2040" s="600">
        <v>0</v>
      </c>
      <c r="O2040" s="287">
        <f t="shared" si="535"/>
        <v>0</v>
      </c>
      <c r="P2040" s="287">
        <f t="shared" si="536"/>
        <v>0</v>
      </c>
      <c r="Q2040" s="288"/>
      <c r="R2040" s="243" t="str">
        <f>IF(P2037&gt;0,"xy","")</f>
        <v/>
      </c>
      <c r="S2040" s="378" t="str">
        <f t="shared" si="529"/>
        <v/>
      </c>
    </row>
    <row r="2041" spans="2:19" hidden="1" x14ac:dyDescent="0.2">
      <c r="B2041" s="730" t="s">
        <v>1885</v>
      </c>
      <c r="C2041" s="300" t="s">
        <v>207</v>
      </c>
      <c r="D2041" s="383" t="s">
        <v>389</v>
      </c>
      <c r="E2041" s="704"/>
      <c r="F2041" s="661"/>
      <c r="G2041" s="665"/>
      <c r="H2041" s="664">
        <f>SUM(H2042:H2044)</f>
        <v>28.854247999999998</v>
      </c>
      <c r="I2041" s="380">
        <v>482.14</v>
      </c>
      <c r="J2041" s="631">
        <f t="shared" ref="J2041" si="561">IF(ISBLANK(I2041),"",SUM(H2041:I2041))</f>
        <v>510.99424799999997</v>
      </c>
      <c r="K2041" s="593">
        <f t="shared" si="449"/>
        <v>647.69000000000005</v>
      </c>
      <c r="L2041" s="594" t="s">
        <v>19</v>
      </c>
      <c r="M2041" s="30"/>
      <c r="N2041" s="30">
        <v>647.69000000000005</v>
      </c>
      <c r="O2041" s="287">
        <f t="shared" si="535"/>
        <v>0</v>
      </c>
      <c r="P2041" s="287">
        <f t="shared" si="536"/>
        <v>0</v>
      </c>
      <c r="Q2041" s="288"/>
      <c r="S2041" s="378" t="str">
        <f t="shared" si="529"/>
        <v/>
      </c>
    </row>
    <row r="2042" spans="2:19" hidden="1" x14ac:dyDescent="0.2">
      <c r="B2042" s="730" t="s">
        <v>168</v>
      </c>
      <c r="C2042" s="300"/>
      <c r="D2042" s="383" t="s">
        <v>213</v>
      </c>
      <c r="E2042" s="704"/>
      <c r="F2042" s="661">
        <v>500</v>
      </c>
      <c r="G2042" s="665">
        <v>4.7999999999999996E-3</v>
      </c>
      <c r="H2042" s="664">
        <f>IF(F2042&lt;=30,(0.75*F2042+6.29)*G2042,((0.75*30+6.29)+0.62*(F2042-30))*G2042)</f>
        <v>1.5369119999999998</v>
      </c>
      <c r="I2042" s="380"/>
      <c r="J2042" s="631"/>
      <c r="K2042" s="593">
        <f t="shared" si="449"/>
        <v>0</v>
      </c>
      <c r="L2042" s="594"/>
      <c r="M2042" s="600"/>
      <c r="N2042" s="600">
        <v>0</v>
      </c>
      <c r="O2042" s="287">
        <f t="shared" si="535"/>
        <v>0</v>
      </c>
      <c r="P2042" s="287">
        <f t="shared" si="536"/>
        <v>0</v>
      </c>
      <c r="Q2042" s="288"/>
      <c r="R2042" s="311" t="str">
        <f>IF(P2041&gt;0,"xy","")</f>
        <v/>
      </c>
      <c r="S2042" s="378" t="str">
        <f t="shared" si="529"/>
        <v/>
      </c>
    </row>
    <row r="2043" spans="2:19" hidden="1" x14ac:dyDescent="0.2">
      <c r="B2043" s="730" t="s">
        <v>168</v>
      </c>
      <c r="C2043" s="300"/>
      <c r="D2043" s="383" t="s">
        <v>249</v>
      </c>
      <c r="E2043" s="704"/>
      <c r="F2043" s="661">
        <v>180</v>
      </c>
      <c r="G2043" s="665">
        <v>2.52E-2</v>
      </c>
      <c r="H2043" s="663">
        <f t="shared" ref="H2043" si="562">IF(F2043&lt;=30,(1.05*F2043+2.18)*G2043,((1.05*30+2.18)+0.87*(F2043-30))*G2043)</f>
        <v>4.1373360000000003</v>
      </c>
      <c r="I2043" s="380"/>
      <c r="J2043" s="631"/>
      <c r="K2043" s="593">
        <f t="shared" si="449"/>
        <v>0</v>
      </c>
      <c r="L2043" s="594"/>
      <c r="M2043" s="600"/>
      <c r="N2043" s="600">
        <v>0</v>
      </c>
      <c r="O2043" s="287">
        <f t="shared" si="535"/>
        <v>0</v>
      </c>
      <c r="P2043" s="287">
        <f t="shared" si="536"/>
        <v>0</v>
      </c>
      <c r="Q2043" s="288"/>
      <c r="R2043" s="311" t="str">
        <f>IF(P2041&gt;0,"xy","")</f>
        <v/>
      </c>
      <c r="S2043" s="378" t="str">
        <f t="shared" si="529"/>
        <v/>
      </c>
    </row>
    <row r="2044" spans="2:19" hidden="1" x14ac:dyDescent="0.2">
      <c r="B2044" s="730" t="s">
        <v>168</v>
      </c>
      <c r="C2044" s="300"/>
      <c r="D2044" s="383" t="s">
        <v>349</v>
      </c>
      <c r="E2044" s="704"/>
      <c r="F2044" s="661">
        <v>20</v>
      </c>
      <c r="G2044" s="665">
        <v>1</v>
      </c>
      <c r="H2044" s="663">
        <f>IF(F2044&lt;=30,(1.05*F2044+2.18)*G2044,((1.05*30+2.18)+0.87*(F2044-30))*G2044)</f>
        <v>23.18</v>
      </c>
      <c r="I2044" s="380"/>
      <c r="J2044" s="631"/>
      <c r="K2044" s="593">
        <f t="shared" si="449"/>
        <v>0</v>
      </c>
      <c r="L2044" s="594"/>
      <c r="M2044" s="600"/>
      <c r="N2044" s="600">
        <v>0</v>
      </c>
      <c r="O2044" s="287">
        <f t="shared" si="535"/>
        <v>0</v>
      </c>
      <c r="P2044" s="287">
        <f t="shared" si="536"/>
        <v>0</v>
      </c>
      <c r="Q2044" s="288"/>
      <c r="R2044" s="243" t="str">
        <f>IF(P2041&gt;0,"xy","")</f>
        <v/>
      </c>
      <c r="S2044" s="378" t="str">
        <f t="shared" si="529"/>
        <v/>
      </c>
    </row>
    <row r="2045" spans="2:19" hidden="1" x14ac:dyDescent="0.2">
      <c r="B2045" s="730" t="s">
        <v>1887</v>
      </c>
      <c r="C2045" s="300" t="s">
        <v>207</v>
      </c>
      <c r="D2045" s="383" t="s">
        <v>390</v>
      </c>
      <c r="E2045" s="704"/>
      <c r="F2045" s="661"/>
      <c r="G2045" s="665"/>
      <c r="H2045" s="664">
        <f>SUM(H2046:H2048)</f>
        <v>40.976883000000001</v>
      </c>
      <c r="I2045" s="380">
        <v>692.65</v>
      </c>
      <c r="J2045" s="631">
        <f t="shared" ref="J2045" si="563">IF(ISBLANK(I2045),"",SUM(H2045:I2045))</f>
        <v>733.62688300000002</v>
      </c>
      <c r="K2045" s="593">
        <f t="shared" ref="K2045:K2113" si="564">IF(ISBLANK(I2045),0,ROUND(J2045*(1+$F$10)*(1+$F$11*E2045),2))</f>
        <v>929.87</v>
      </c>
      <c r="L2045" s="594" t="s">
        <v>19</v>
      </c>
      <c r="M2045" s="30"/>
      <c r="N2045" s="30">
        <v>929.87</v>
      </c>
      <c r="O2045" s="287">
        <f t="shared" si="535"/>
        <v>0</v>
      </c>
      <c r="P2045" s="287">
        <f t="shared" si="536"/>
        <v>0</v>
      </c>
      <c r="Q2045" s="288"/>
      <c r="S2045" s="378" t="str">
        <f t="shared" ref="S2045:S2108" si="565">IF(R2045="x","x",IF(R2045="y","x",IF(R2045="xy","x",IF(P2045&gt;0,"x",""))))</f>
        <v/>
      </c>
    </row>
    <row r="2046" spans="2:19" hidden="1" x14ac:dyDescent="0.2">
      <c r="B2046" s="730" t="s">
        <v>168</v>
      </c>
      <c r="C2046" s="300"/>
      <c r="D2046" s="383" t="s">
        <v>213</v>
      </c>
      <c r="E2046" s="704"/>
      <c r="F2046" s="661">
        <v>500</v>
      </c>
      <c r="G2046" s="665">
        <v>6.4999999999999997E-3</v>
      </c>
      <c r="H2046" s="664">
        <f>IF(F2046&lt;=30,(0.75*F2046+6.29)*G2046,((0.75*30+6.29)+0.62*(F2046-30))*G2046)</f>
        <v>2.0812349999999999</v>
      </c>
      <c r="I2046" s="380"/>
      <c r="J2046" s="631"/>
      <c r="K2046" s="593">
        <f t="shared" si="564"/>
        <v>0</v>
      </c>
      <c r="L2046" s="594"/>
      <c r="M2046" s="600"/>
      <c r="N2046" s="600">
        <v>0</v>
      </c>
      <c r="O2046" s="287">
        <f t="shared" si="535"/>
        <v>0</v>
      </c>
      <c r="P2046" s="287">
        <f t="shared" si="536"/>
        <v>0</v>
      </c>
      <c r="Q2046" s="288"/>
      <c r="R2046" s="311" t="str">
        <f>IF(P2045&gt;0,"xy","")</f>
        <v/>
      </c>
      <c r="S2046" s="378" t="str">
        <f t="shared" si="565"/>
        <v/>
      </c>
    </row>
    <row r="2047" spans="2:19" hidden="1" x14ac:dyDescent="0.2">
      <c r="B2047" s="730" t="s">
        <v>168</v>
      </c>
      <c r="C2047" s="300"/>
      <c r="D2047" s="383" t="s">
        <v>249</v>
      </c>
      <c r="E2047" s="704"/>
      <c r="F2047" s="661">
        <v>180</v>
      </c>
      <c r="G2047" s="665">
        <v>3.3599999999999998E-2</v>
      </c>
      <c r="H2047" s="663">
        <f t="shared" ref="H2047" si="566">IF(F2047&lt;=30,(1.05*F2047+2.18)*G2047,((1.05*30+2.18)+0.87*(F2047-30))*G2047)</f>
        <v>5.5164479999999996</v>
      </c>
      <c r="I2047" s="380"/>
      <c r="J2047" s="631"/>
      <c r="K2047" s="593">
        <f t="shared" si="564"/>
        <v>0</v>
      </c>
      <c r="L2047" s="594"/>
      <c r="M2047" s="600"/>
      <c r="N2047" s="600">
        <v>0</v>
      </c>
      <c r="O2047" s="287">
        <f t="shared" si="535"/>
        <v>0</v>
      </c>
      <c r="P2047" s="287">
        <f t="shared" si="536"/>
        <v>0</v>
      </c>
      <c r="Q2047" s="288"/>
      <c r="R2047" s="311" t="str">
        <f>IF(P2045&gt;0,"xy","")</f>
        <v/>
      </c>
      <c r="S2047" s="378" t="str">
        <f t="shared" si="565"/>
        <v/>
      </c>
    </row>
    <row r="2048" spans="2:19" hidden="1" x14ac:dyDescent="0.2">
      <c r="B2048" s="730" t="s">
        <v>168</v>
      </c>
      <c r="C2048" s="300"/>
      <c r="D2048" s="383" t="s">
        <v>349</v>
      </c>
      <c r="E2048" s="704"/>
      <c r="F2048" s="661">
        <v>20</v>
      </c>
      <c r="G2048" s="665">
        <v>1.44</v>
      </c>
      <c r="H2048" s="663">
        <f>IF(F2048&lt;=30,(1.05*F2048+2.18)*G2048,((1.05*30+2.18)+0.87*(F2048-30))*G2048)</f>
        <v>33.379199999999997</v>
      </c>
      <c r="I2048" s="380"/>
      <c r="J2048" s="631"/>
      <c r="K2048" s="593">
        <f t="shared" si="564"/>
        <v>0</v>
      </c>
      <c r="L2048" s="594"/>
      <c r="M2048" s="600"/>
      <c r="N2048" s="600">
        <v>0</v>
      </c>
      <c r="O2048" s="287">
        <f t="shared" si="535"/>
        <v>0</v>
      </c>
      <c r="P2048" s="287">
        <f t="shared" si="536"/>
        <v>0</v>
      </c>
      <c r="Q2048" s="288"/>
      <c r="R2048" s="243" t="str">
        <f>IF(P2045&gt;0,"xy","")</f>
        <v/>
      </c>
      <c r="S2048" s="378" t="str">
        <f t="shared" si="565"/>
        <v/>
      </c>
    </row>
    <row r="2049" spans="2:19" hidden="1" x14ac:dyDescent="0.2">
      <c r="B2049" s="730" t="s">
        <v>1890</v>
      </c>
      <c r="C2049" s="300" t="s">
        <v>207</v>
      </c>
      <c r="D2049" s="383" t="s">
        <v>391</v>
      </c>
      <c r="E2049" s="704"/>
      <c r="F2049" s="661"/>
      <c r="G2049" s="665"/>
      <c r="H2049" s="664">
        <f>SUM(H2050:H2052)</f>
        <v>47.736098999999996</v>
      </c>
      <c r="I2049" s="380">
        <v>956.87</v>
      </c>
      <c r="J2049" s="631">
        <f t="shared" ref="J2049" si="567">IF(ISBLANK(I2049),"",SUM(H2049:I2049))</f>
        <v>1004.606099</v>
      </c>
      <c r="K2049" s="593">
        <f t="shared" si="564"/>
        <v>1273.3399999999999</v>
      </c>
      <c r="L2049" s="594" t="s">
        <v>19</v>
      </c>
      <c r="M2049" s="30"/>
      <c r="N2049" s="30">
        <v>1273.3399999999999</v>
      </c>
      <c r="O2049" s="287">
        <f t="shared" si="535"/>
        <v>0</v>
      </c>
      <c r="P2049" s="287">
        <f t="shared" si="536"/>
        <v>0</v>
      </c>
      <c r="Q2049" s="288"/>
      <c r="S2049" s="378" t="str">
        <f t="shared" si="565"/>
        <v/>
      </c>
    </row>
    <row r="2050" spans="2:19" hidden="1" x14ac:dyDescent="0.2">
      <c r="B2050" s="730" t="s">
        <v>168</v>
      </c>
      <c r="C2050" s="300"/>
      <c r="D2050" s="383" t="s">
        <v>213</v>
      </c>
      <c r="E2050" s="704"/>
      <c r="F2050" s="661">
        <v>500</v>
      </c>
      <c r="G2050" s="665">
        <v>8.0999999999999996E-3</v>
      </c>
      <c r="H2050" s="664">
        <f>IF(F2050&lt;=30,(0.75*F2050+6.29)*G2050,((0.75*30+6.29)+0.62*(F2050-30))*G2050)</f>
        <v>2.5935389999999998</v>
      </c>
      <c r="I2050" s="380"/>
      <c r="J2050" s="631" t="str">
        <f t="shared" ref="J2050:J2052" si="568">IF(ISBLANK(I2050),"",SUM(H2050:I2050))</f>
        <v/>
      </c>
      <c r="K2050" s="593">
        <f t="shared" si="564"/>
        <v>0</v>
      </c>
      <c r="L2050" s="594"/>
      <c r="M2050" s="600"/>
      <c r="N2050" s="600">
        <v>0</v>
      </c>
      <c r="O2050" s="287">
        <f t="shared" si="535"/>
        <v>0</v>
      </c>
      <c r="P2050" s="287">
        <f t="shared" si="536"/>
        <v>0</v>
      </c>
      <c r="Q2050" s="288"/>
      <c r="R2050" s="311" t="str">
        <f>IF(P2049&gt;0,"xy","")</f>
        <v/>
      </c>
      <c r="S2050" s="378" t="str">
        <f t="shared" si="565"/>
        <v/>
      </c>
    </row>
    <row r="2051" spans="2:19" hidden="1" x14ac:dyDescent="0.2">
      <c r="B2051" s="730" t="s">
        <v>168</v>
      </c>
      <c r="C2051" s="300"/>
      <c r="D2051" s="383" t="s">
        <v>249</v>
      </c>
      <c r="E2051" s="704"/>
      <c r="F2051" s="661">
        <v>180</v>
      </c>
      <c r="G2051" s="665">
        <v>4.2000000000000003E-2</v>
      </c>
      <c r="H2051" s="663">
        <f t="shared" ref="H2051" si="569">IF(F2051&lt;=30,(1.05*F2051+2.18)*G2051,((1.05*30+2.18)+0.87*(F2051-30))*G2051)</f>
        <v>6.8955600000000006</v>
      </c>
      <c r="I2051" s="380"/>
      <c r="J2051" s="631" t="str">
        <f t="shared" si="568"/>
        <v/>
      </c>
      <c r="K2051" s="593">
        <f t="shared" si="564"/>
        <v>0</v>
      </c>
      <c r="L2051" s="594"/>
      <c r="M2051" s="600"/>
      <c r="N2051" s="600">
        <v>0</v>
      </c>
      <c r="O2051" s="287">
        <f t="shared" si="535"/>
        <v>0</v>
      </c>
      <c r="P2051" s="287">
        <f t="shared" si="536"/>
        <v>0</v>
      </c>
      <c r="Q2051" s="288"/>
      <c r="R2051" s="311" t="str">
        <f>IF(P2049&gt;0,"xy","")</f>
        <v/>
      </c>
      <c r="S2051" s="378" t="str">
        <f t="shared" si="565"/>
        <v/>
      </c>
    </row>
    <row r="2052" spans="2:19" hidden="1" x14ac:dyDescent="0.2">
      <c r="B2052" s="730" t="s">
        <v>168</v>
      </c>
      <c r="C2052" s="300"/>
      <c r="D2052" s="383" t="s">
        <v>349</v>
      </c>
      <c r="E2052" s="704"/>
      <c r="F2052" s="661">
        <v>20</v>
      </c>
      <c r="G2052" s="665">
        <v>1.65</v>
      </c>
      <c r="H2052" s="663">
        <f>IF(F2052&lt;=30,(1.05*F2052+2.18)*G2052,((1.05*30+2.18)+0.87*(F2052-30))*G2052)</f>
        <v>38.247</v>
      </c>
      <c r="I2052" s="380"/>
      <c r="J2052" s="631" t="str">
        <f t="shared" si="568"/>
        <v/>
      </c>
      <c r="K2052" s="593">
        <f t="shared" si="564"/>
        <v>0</v>
      </c>
      <c r="L2052" s="594"/>
      <c r="M2052" s="600"/>
      <c r="N2052" s="600">
        <v>0</v>
      </c>
      <c r="O2052" s="287">
        <f t="shared" si="535"/>
        <v>0</v>
      </c>
      <c r="P2052" s="287">
        <f t="shared" si="536"/>
        <v>0</v>
      </c>
      <c r="Q2052" s="288"/>
      <c r="R2052" s="243" t="str">
        <f>IF(P2049&gt;0,"xy","")</f>
        <v/>
      </c>
      <c r="S2052" s="378" t="str">
        <f t="shared" si="565"/>
        <v/>
      </c>
    </row>
    <row r="2053" spans="2:19" hidden="1" x14ac:dyDescent="0.2">
      <c r="B2053" s="730" t="s">
        <v>1891</v>
      </c>
      <c r="C2053" s="300" t="s">
        <v>207</v>
      </c>
      <c r="D2053" s="383" t="s">
        <v>392</v>
      </c>
      <c r="E2053" s="704"/>
      <c r="F2053" s="661"/>
      <c r="G2053" s="665"/>
      <c r="H2053" s="664">
        <f>SUM(H2054:H2056)</f>
        <v>57.603435999999995</v>
      </c>
      <c r="I2053" s="380">
        <v>1289.2828000000002</v>
      </c>
      <c r="J2053" s="631">
        <f t="shared" ref="J2053" si="570">IF(ISBLANK(I2053),"",SUM(H2053:I2053))</f>
        <v>1346.8862360000003</v>
      </c>
      <c r="K2053" s="593">
        <f t="shared" si="564"/>
        <v>1707.18</v>
      </c>
      <c r="L2053" s="594" t="s">
        <v>19</v>
      </c>
      <c r="M2053" s="30"/>
      <c r="N2053" s="30">
        <v>1707.18</v>
      </c>
      <c r="O2053" s="287">
        <f t="shared" si="535"/>
        <v>0</v>
      </c>
      <c r="P2053" s="287">
        <f t="shared" si="536"/>
        <v>0</v>
      </c>
      <c r="Q2053" s="288"/>
      <c r="S2053" s="378" t="str">
        <f t="shared" si="565"/>
        <v/>
      </c>
    </row>
    <row r="2054" spans="2:19" hidden="1" x14ac:dyDescent="0.2">
      <c r="B2054" s="730" t="s">
        <v>168</v>
      </c>
      <c r="C2054" s="300"/>
      <c r="D2054" s="383" t="s">
        <v>213</v>
      </c>
      <c r="E2054" s="704"/>
      <c r="F2054" s="661">
        <v>500</v>
      </c>
      <c r="G2054" s="665">
        <v>9.1999999999999998E-3</v>
      </c>
      <c r="H2054" s="664">
        <f>IF(F2054&lt;=30,(0.75*F2054+6.29)*G2054,((0.75*30+6.29)+0.62*(F2054-30))*G2054)</f>
        <v>2.945748</v>
      </c>
      <c r="I2054" s="380"/>
      <c r="J2054" s="631"/>
      <c r="K2054" s="593">
        <f t="shared" si="564"/>
        <v>0</v>
      </c>
      <c r="L2054" s="594"/>
      <c r="M2054" s="600"/>
      <c r="N2054" s="600">
        <v>0</v>
      </c>
      <c r="O2054" s="287">
        <f t="shared" si="535"/>
        <v>0</v>
      </c>
      <c r="P2054" s="287">
        <f t="shared" si="536"/>
        <v>0</v>
      </c>
      <c r="Q2054" s="288"/>
      <c r="R2054" s="311" t="str">
        <f>IF(P2053&gt;0,"xy","")</f>
        <v/>
      </c>
      <c r="S2054" s="378" t="str">
        <f t="shared" si="565"/>
        <v/>
      </c>
    </row>
    <row r="2055" spans="2:19" hidden="1" x14ac:dyDescent="0.2">
      <c r="B2055" s="730" t="s">
        <v>168</v>
      </c>
      <c r="C2055" s="300"/>
      <c r="D2055" s="383" t="s">
        <v>249</v>
      </c>
      <c r="E2055" s="704"/>
      <c r="F2055" s="661">
        <v>180</v>
      </c>
      <c r="G2055" s="665">
        <v>4.7899999999999998E-2</v>
      </c>
      <c r="H2055" s="663">
        <f t="shared" ref="H2055" si="571">IF(F2055&lt;=30,(1.05*F2055+2.18)*G2055,((1.05*30+2.18)+0.87*(F2055-30))*G2055)</f>
        <v>7.8642219999999998</v>
      </c>
      <c r="I2055" s="380"/>
      <c r="J2055" s="631"/>
      <c r="K2055" s="593">
        <f t="shared" si="564"/>
        <v>0</v>
      </c>
      <c r="L2055" s="594"/>
      <c r="M2055" s="600"/>
      <c r="N2055" s="600">
        <v>0</v>
      </c>
      <c r="O2055" s="287">
        <f t="shared" ref="O2055:O2145" si="572">IF(ISBLANK(M2055),0,ROUND(K2055*M2055,2))</f>
        <v>0</v>
      </c>
      <c r="P2055" s="287">
        <f t="shared" ref="P2055:P2145" si="573">IF(ISBLANK(N2055),0,ROUND(M2055*N2055,2))</f>
        <v>0</v>
      </c>
      <c r="Q2055" s="288"/>
      <c r="R2055" s="311" t="str">
        <f>IF(P2053&gt;0,"xy","")</f>
        <v/>
      </c>
      <c r="S2055" s="378" t="str">
        <f t="shared" si="565"/>
        <v/>
      </c>
    </row>
    <row r="2056" spans="2:19" hidden="1" x14ac:dyDescent="0.2">
      <c r="B2056" s="730" t="s">
        <v>168</v>
      </c>
      <c r="C2056" s="300"/>
      <c r="D2056" s="383" t="s">
        <v>349</v>
      </c>
      <c r="E2056" s="704"/>
      <c r="F2056" s="661">
        <v>20</v>
      </c>
      <c r="G2056" s="665">
        <v>2.0186999999999999</v>
      </c>
      <c r="H2056" s="663">
        <f>IF(F2056&lt;=30,(1.05*F2056+2.18)*G2056,((1.05*30+2.18)+0.87*(F2056-30))*G2056)</f>
        <v>46.793465999999995</v>
      </c>
      <c r="I2056" s="380"/>
      <c r="J2056" s="631"/>
      <c r="K2056" s="593">
        <f t="shared" si="564"/>
        <v>0</v>
      </c>
      <c r="L2056" s="594"/>
      <c r="M2056" s="600"/>
      <c r="N2056" s="600">
        <v>0</v>
      </c>
      <c r="O2056" s="287">
        <f t="shared" si="572"/>
        <v>0</v>
      </c>
      <c r="P2056" s="287">
        <f t="shared" si="573"/>
        <v>0</v>
      </c>
      <c r="Q2056" s="288"/>
      <c r="R2056" s="243" t="str">
        <f>IF(P2053&gt;0,"xy","")</f>
        <v/>
      </c>
      <c r="S2056" s="378" t="str">
        <f t="shared" si="565"/>
        <v/>
      </c>
    </row>
    <row r="2057" spans="2:19" hidden="1" x14ac:dyDescent="0.2">
      <c r="B2057" s="730" t="s">
        <v>1893</v>
      </c>
      <c r="C2057" s="300" t="s">
        <v>207</v>
      </c>
      <c r="D2057" s="383" t="s">
        <v>393</v>
      </c>
      <c r="E2057" s="704"/>
      <c r="F2057" s="661"/>
      <c r="G2057" s="665"/>
      <c r="H2057" s="664">
        <f>SUM(H2058:H2060)</f>
        <v>61.217514999999999</v>
      </c>
      <c r="I2057" s="380">
        <v>1995.6599999999999</v>
      </c>
      <c r="J2057" s="631">
        <f t="shared" ref="J2057" si="574">IF(ISBLANK(I2057),"",SUM(H2057:I2057))</f>
        <v>2056.8775149999997</v>
      </c>
      <c r="K2057" s="593">
        <f t="shared" si="564"/>
        <v>2607.09</v>
      </c>
      <c r="L2057" s="594" t="s">
        <v>19</v>
      </c>
      <c r="M2057" s="30"/>
      <c r="N2057" s="30">
        <v>2607.09</v>
      </c>
      <c r="O2057" s="287">
        <f t="shared" si="572"/>
        <v>0</v>
      </c>
      <c r="P2057" s="287">
        <f t="shared" si="573"/>
        <v>0</v>
      </c>
      <c r="Q2057" s="288"/>
      <c r="S2057" s="378" t="str">
        <f t="shared" si="565"/>
        <v/>
      </c>
    </row>
    <row r="2058" spans="2:19" hidden="1" x14ac:dyDescent="0.2">
      <c r="B2058" s="730" t="s">
        <v>168</v>
      </c>
      <c r="C2058" s="300"/>
      <c r="D2058" s="383" t="s">
        <v>213</v>
      </c>
      <c r="E2058" s="704"/>
      <c r="F2058" s="661">
        <v>500</v>
      </c>
      <c r="G2058" s="665">
        <v>9.7000000000000003E-3</v>
      </c>
      <c r="H2058" s="664">
        <f>IF(F2058&lt;=30,(0.75*F2058+6.29)*G2058,((0.75*30+6.29)+0.62*(F2058-30))*G2058)</f>
        <v>3.1058430000000001</v>
      </c>
      <c r="I2058" s="380"/>
      <c r="J2058" s="631"/>
      <c r="K2058" s="593">
        <f t="shared" si="564"/>
        <v>0</v>
      </c>
      <c r="L2058" s="594"/>
      <c r="M2058" s="600"/>
      <c r="N2058" s="600">
        <v>0</v>
      </c>
      <c r="O2058" s="287">
        <f t="shared" si="572"/>
        <v>0</v>
      </c>
      <c r="P2058" s="287">
        <f t="shared" si="573"/>
        <v>0</v>
      </c>
      <c r="Q2058" s="288"/>
      <c r="R2058" s="311" t="str">
        <f>IF(P2057&gt;0,"xy","")</f>
        <v/>
      </c>
      <c r="S2058" s="378" t="str">
        <f t="shared" si="565"/>
        <v/>
      </c>
    </row>
    <row r="2059" spans="2:19" hidden="1" x14ac:dyDescent="0.2">
      <c r="B2059" s="730" t="s">
        <v>168</v>
      </c>
      <c r="C2059" s="300"/>
      <c r="D2059" s="383" t="s">
        <v>249</v>
      </c>
      <c r="E2059" s="704"/>
      <c r="F2059" s="661">
        <v>180</v>
      </c>
      <c r="G2059" s="665">
        <v>5.04E-2</v>
      </c>
      <c r="H2059" s="663">
        <f t="shared" ref="H2059" si="575">IF(F2059&lt;=30,(1.05*F2059+2.18)*G2059,((1.05*30+2.18)+0.87*(F2059-30))*G2059)</f>
        <v>8.2746720000000007</v>
      </c>
      <c r="I2059" s="380"/>
      <c r="J2059" s="631"/>
      <c r="K2059" s="593">
        <f t="shared" si="564"/>
        <v>0</v>
      </c>
      <c r="L2059" s="594"/>
      <c r="M2059" s="600"/>
      <c r="N2059" s="600">
        <v>0</v>
      </c>
      <c r="O2059" s="287">
        <f t="shared" si="572"/>
        <v>0</v>
      </c>
      <c r="P2059" s="287">
        <f t="shared" si="573"/>
        <v>0</v>
      </c>
      <c r="Q2059" s="288"/>
      <c r="R2059" s="311" t="str">
        <f>IF(P2057&gt;0,"xy","")</f>
        <v/>
      </c>
      <c r="S2059" s="378" t="str">
        <f t="shared" si="565"/>
        <v/>
      </c>
    </row>
    <row r="2060" spans="2:19" hidden="1" x14ac:dyDescent="0.2">
      <c r="B2060" s="730" t="s">
        <v>168</v>
      </c>
      <c r="C2060" s="300"/>
      <c r="D2060" s="383" t="s">
        <v>349</v>
      </c>
      <c r="E2060" s="704"/>
      <c r="F2060" s="661">
        <v>20</v>
      </c>
      <c r="G2060" s="665">
        <v>2.15</v>
      </c>
      <c r="H2060" s="663">
        <f>IF(F2060&lt;=30,(1.05*F2060+2.18)*G2060,((1.05*30+2.18)+0.87*(F2060-30))*G2060)</f>
        <v>49.836999999999996</v>
      </c>
      <c r="I2060" s="380"/>
      <c r="J2060" s="631"/>
      <c r="K2060" s="593">
        <f t="shared" si="564"/>
        <v>0</v>
      </c>
      <c r="L2060" s="594"/>
      <c r="M2060" s="600"/>
      <c r="N2060" s="600">
        <v>0</v>
      </c>
      <c r="O2060" s="287">
        <f t="shared" si="572"/>
        <v>0</v>
      </c>
      <c r="P2060" s="287">
        <f t="shared" si="573"/>
        <v>0</v>
      </c>
      <c r="Q2060" s="288"/>
      <c r="R2060" s="243" t="str">
        <f>IF(P2057&gt;0,"xy","")</f>
        <v/>
      </c>
      <c r="S2060" s="378" t="str">
        <f t="shared" si="565"/>
        <v/>
      </c>
    </row>
    <row r="2061" spans="2:19" hidden="1" x14ac:dyDescent="0.2">
      <c r="B2061" s="730">
        <v>610500</v>
      </c>
      <c r="C2061" s="300" t="s">
        <v>207</v>
      </c>
      <c r="D2061" s="383" t="s">
        <v>394</v>
      </c>
      <c r="E2061" s="704"/>
      <c r="F2061" s="661"/>
      <c r="G2061" s="665"/>
      <c r="H2061" s="664">
        <f>SUM(H2062:H2065)</f>
        <v>27.777238000000001</v>
      </c>
      <c r="I2061" s="380">
        <v>216.28</v>
      </c>
      <c r="J2061" s="631">
        <f t="shared" ref="J2061" si="576">IF(ISBLANK(I2061),"",SUM(H2061:I2061))</f>
        <v>244.05723800000001</v>
      </c>
      <c r="K2061" s="593">
        <f t="shared" si="564"/>
        <v>309.33999999999997</v>
      </c>
      <c r="L2061" s="594" t="s">
        <v>19</v>
      </c>
      <c r="M2061" s="30"/>
      <c r="N2061" s="30">
        <v>309.33999999999997</v>
      </c>
      <c r="O2061" s="287">
        <f t="shared" si="572"/>
        <v>0</v>
      </c>
      <c r="P2061" s="287">
        <f t="shared" si="573"/>
        <v>0</v>
      </c>
      <c r="Q2061" s="288"/>
      <c r="S2061" s="378" t="str">
        <f t="shared" si="565"/>
        <v/>
      </c>
    </row>
    <row r="2062" spans="2:19" hidden="1" x14ac:dyDescent="0.2">
      <c r="B2062" s="730" t="s">
        <v>168</v>
      </c>
      <c r="C2062" s="300"/>
      <c r="D2062" s="383" t="s">
        <v>213</v>
      </c>
      <c r="E2062" s="704"/>
      <c r="F2062" s="661">
        <v>500</v>
      </c>
      <c r="G2062" s="665">
        <v>2.2599999999999999E-2</v>
      </c>
      <c r="H2062" s="664">
        <f>IF(F2062&lt;=30,(0.75*F2062+6.29)*G2062,((0.75*30+6.29)+0.62*(F2062-30))*G2062)</f>
        <v>7.2362939999999991</v>
      </c>
      <c r="I2062" s="380"/>
      <c r="J2062" s="631"/>
      <c r="K2062" s="593">
        <f t="shared" si="564"/>
        <v>0</v>
      </c>
      <c r="L2062" s="594"/>
      <c r="M2062" s="600"/>
      <c r="N2062" s="600">
        <v>0</v>
      </c>
      <c r="O2062" s="287">
        <f t="shared" si="572"/>
        <v>0</v>
      </c>
      <c r="P2062" s="287">
        <f t="shared" si="573"/>
        <v>0</v>
      </c>
      <c r="Q2062" s="288"/>
      <c r="R2062" s="311" t="str">
        <f>IF(P2061&gt;0,"xy","")</f>
        <v/>
      </c>
      <c r="S2062" s="378" t="str">
        <f t="shared" si="565"/>
        <v/>
      </c>
    </row>
    <row r="2063" spans="2:19" hidden="1" x14ac:dyDescent="0.2">
      <c r="B2063" s="730" t="s">
        <v>168</v>
      </c>
      <c r="C2063" s="300"/>
      <c r="D2063" s="383" t="s">
        <v>249</v>
      </c>
      <c r="E2063" s="704"/>
      <c r="F2063" s="661">
        <v>180</v>
      </c>
      <c r="G2063" s="665">
        <v>8.3900000000000002E-2</v>
      </c>
      <c r="H2063" s="663">
        <f t="shared" ref="H2063" si="577">IF(F2063&lt;=30,(1.05*F2063+2.18)*G2063,((1.05*30+2.18)+0.87*(F2063-30))*G2063)</f>
        <v>13.774702000000001</v>
      </c>
      <c r="I2063" s="380"/>
      <c r="J2063" s="631"/>
      <c r="K2063" s="593">
        <f t="shared" si="564"/>
        <v>0</v>
      </c>
      <c r="L2063" s="594"/>
      <c r="M2063" s="600"/>
      <c r="N2063" s="600">
        <v>0</v>
      </c>
      <c r="O2063" s="287">
        <f t="shared" si="572"/>
        <v>0</v>
      </c>
      <c r="P2063" s="287">
        <f t="shared" si="573"/>
        <v>0</v>
      </c>
      <c r="Q2063" s="288"/>
      <c r="R2063" s="311" t="str">
        <f>IF(P2061&gt;0,"xy","")</f>
        <v/>
      </c>
      <c r="S2063" s="378" t="str">
        <f t="shared" si="565"/>
        <v/>
      </c>
    </row>
    <row r="2064" spans="2:19" hidden="1" x14ac:dyDescent="0.2">
      <c r="B2064" s="730" t="s">
        <v>168</v>
      </c>
      <c r="C2064" s="300"/>
      <c r="D2064" s="383" t="s">
        <v>253</v>
      </c>
      <c r="E2064" s="704"/>
      <c r="F2064" s="661">
        <v>20</v>
      </c>
      <c r="G2064" s="665">
        <v>0.13490000000000002</v>
      </c>
      <c r="H2064" s="663">
        <f>IF(F2064&lt;=30,(1.05*F2064+2.18)*G2064,((1.05*30+2.18)+0.87*(F2064-30))*G2064)</f>
        <v>3.1269820000000004</v>
      </c>
      <c r="I2064" s="380"/>
      <c r="J2064" s="631"/>
      <c r="K2064" s="593">
        <f t="shared" si="564"/>
        <v>0</v>
      </c>
      <c r="L2064" s="594"/>
      <c r="M2064" s="600"/>
      <c r="N2064" s="600">
        <v>0</v>
      </c>
      <c r="O2064" s="287">
        <f t="shared" si="572"/>
        <v>0</v>
      </c>
      <c r="P2064" s="287">
        <f t="shared" si="573"/>
        <v>0</v>
      </c>
      <c r="Q2064" s="288"/>
      <c r="R2064" s="243" t="str">
        <f>IF(P2061&gt;0,"xy","")</f>
        <v/>
      </c>
      <c r="S2064" s="378" t="str">
        <f t="shared" si="565"/>
        <v/>
      </c>
    </row>
    <row r="2065" spans="2:19" hidden="1" x14ac:dyDescent="0.2">
      <c r="B2065" s="730" t="s">
        <v>168</v>
      </c>
      <c r="C2065" s="300"/>
      <c r="D2065" s="383" t="s">
        <v>349</v>
      </c>
      <c r="E2065" s="704"/>
      <c r="F2065" s="661">
        <v>20</v>
      </c>
      <c r="G2065" s="665">
        <v>0.157</v>
      </c>
      <c r="H2065" s="663">
        <f>IF(F2065&lt;=30,(1.05*F2065+2.18)*G2065,((1.05*30+2.18)+0.87*(F2065-30))*G2065)</f>
        <v>3.6392600000000002</v>
      </c>
      <c r="I2065" s="380"/>
      <c r="J2065" s="631"/>
      <c r="K2065" s="593">
        <f t="shared" si="564"/>
        <v>0</v>
      </c>
      <c r="L2065" s="594"/>
      <c r="M2065" s="600"/>
      <c r="N2065" s="600">
        <v>0</v>
      </c>
      <c r="O2065" s="287">
        <f t="shared" si="572"/>
        <v>0</v>
      </c>
      <c r="P2065" s="287">
        <f t="shared" si="573"/>
        <v>0</v>
      </c>
      <c r="Q2065" s="288"/>
      <c r="R2065" s="311" t="str">
        <f>IF(P2061&gt;0,"xy","")</f>
        <v/>
      </c>
      <c r="S2065" s="378" t="str">
        <f t="shared" si="565"/>
        <v/>
      </c>
    </row>
    <row r="2066" spans="2:19" hidden="1" x14ac:dyDescent="0.2">
      <c r="B2066" s="730" t="s">
        <v>1878</v>
      </c>
      <c r="C2066" s="300" t="s">
        <v>207</v>
      </c>
      <c r="D2066" s="383" t="s">
        <v>726</v>
      </c>
      <c r="E2066" s="704"/>
      <c r="F2066" s="661"/>
      <c r="G2066" s="665"/>
      <c r="H2066" s="664">
        <f>SUM(H2067:H2070)</f>
        <v>36.223103999999999</v>
      </c>
      <c r="I2066" s="380">
        <v>277.65499999999997</v>
      </c>
      <c r="J2066" s="631">
        <f t="shared" ref="J2066" si="578">IF(ISBLANK(I2066),"",SUM(H2066:I2066))</f>
        <v>313.87810399999995</v>
      </c>
      <c r="K2066" s="593">
        <f t="shared" ref="K2066:K2070" si="579">IF(ISBLANK(I2066),0,ROUND(J2066*(1+$F$10)*(1+$F$11*E2066),2))</f>
        <v>397.84</v>
      </c>
      <c r="L2066" s="594" t="s">
        <v>19</v>
      </c>
      <c r="M2066" s="30"/>
      <c r="N2066" s="30">
        <v>397.84</v>
      </c>
      <c r="O2066" s="287">
        <f t="shared" ref="O2066:O2070" si="580">IF(ISBLANK(M2066),0,ROUND(K2066*M2066,2))</f>
        <v>0</v>
      </c>
      <c r="P2066" s="287">
        <f t="shared" ref="P2066:P2070" si="581">IF(ISBLANK(N2066),0,ROUND(M2066*N2066,2))</f>
        <v>0</v>
      </c>
      <c r="Q2066" s="288"/>
      <c r="S2066" s="378" t="str">
        <f t="shared" si="565"/>
        <v/>
      </c>
    </row>
    <row r="2067" spans="2:19" hidden="1" x14ac:dyDescent="0.2">
      <c r="B2067" s="730" t="s">
        <v>168</v>
      </c>
      <c r="C2067" s="300"/>
      <c r="D2067" s="383" t="s">
        <v>213</v>
      </c>
      <c r="E2067" s="704"/>
      <c r="F2067" s="661">
        <v>500</v>
      </c>
      <c r="G2067" s="665">
        <v>2.86E-2</v>
      </c>
      <c r="H2067" s="664">
        <f>IF(F2067&lt;=30,(0.75*F2067+6.29)*G2067,((0.75*30+6.29)+0.62*(F2067-30))*G2067)</f>
        <v>9.1574340000000003</v>
      </c>
      <c r="I2067" s="380"/>
      <c r="J2067" s="631"/>
      <c r="K2067" s="593">
        <f t="shared" si="579"/>
        <v>0</v>
      </c>
      <c r="L2067" s="594"/>
      <c r="M2067" s="600"/>
      <c r="N2067" s="600">
        <v>0</v>
      </c>
      <c r="O2067" s="287">
        <f t="shared" si="580"/>
        <v>0</v>
      </c>
      <c r="P2067" s="287">
        <f t="shared" si="581"/>
        <v>0</v>
      </c>
      <c r="Q2067" s="288"/>
      <c r="R2067" s="311" t="str">
        <f>IF(P2066&gt;0,"xy","")</f>
        <v/>
      </c>
      <c r="S2067" s="378" t="str">
        <f t="shared" si="565"/>
        <v/>
      </c>
    </row>
    <row r="2068" spans="2:19" hidden="1" x14ac:dyDescent="0.2">
      <c r="B2068" s="730" t="s">
        <v>168</v>
      </c>
      <c r="C2068" s="300"/>
      <c r="D2068" s="383" t="s">
        <v>249</v>
      </c>
      <c r="E2068" s="704"/>
      <c r="F2068" s="661">
        <v>180</v>
      </c>
      <c r="G2068" s="665">
        <v>0.10539999999999999</v>
      </c>
      <c r="H2068" s="663">
        <f t="shared" ref="H2068" si="582">IF(F2068&lt;=30,(1.05*F2068+2.18)*G2068,((1.05*30+2.18)+0.87*(F2068-30))*G2068)</f>
        <v>17.304572</v>
      </c>
      <c r="I2068" s="380"/>
      <c r="J2068" s="631"/>
      <c r="K2068" s="593">
        <f t="shared" si="579"/>
        <v>0</v>
      </c>
      <c r="L2068" s="594"/>
      <c r="M2068" s="600"/>
      <c r="N2068" s="600">
        <v>0</v>
      </c>
      <c r="O2068" s="287">
        <f t="shared" si="580"/>
        <v>0</v>
      </c>
      <c r="P2068" s="287">
        <f t="shared" si="581"/>
        <v>0</v>
      </c>
      <c r="Q2068" s="288"/>
      <c r="R2068" s="311" t="str">
        <f>IF(P2066&gt;0,"xy","")</f>
        <v/>
      </c>
      <c r="S2068" s="378" t="str">
        <f t="shared" si="565"/>
        <v/>
      </c>
    </row>
    <row r="2069" spans="2:19" hidden="1" x14ac:dyDescent="0.2">
      <c r="B2069" s="730" t="s">
        <v>168</v>
      </c>
      <c r="C2069" s="300"/>
      <c r="D2069" s="383" t="s">
        <v>253</v>
      </c>
      <c r="E2069" s="704"/>
      <c r="F2069" s="661">
        <v>20</v>
      </c>
      <c r="G2069" s="665">
        <v>0.1711</v>
      </c>
      <c r="H2069" s="663">
        <f>IF(F2069&lt;=30,(1.05*F2069+2.18)*G2069,((1.05*30+2.18)+0.87*(F2069-30))*G2069)</f>
        <v>3.9660980000000001</v>
      </c>
      <c r="I2069" s="380"/>
      <c r="J2069" s="631"/>
      <c r="K2069" s="593">
        <f t="shared" si="579"/>
        <v>0</v>
      </c>
      <c r="L2069" s="594"/>
      <c r="M2069" s="600"/>
      <c r="N2069" s="600">
        <v>0</v>
      </c>
      <c r="O2069" s="287">
        <f t="shared" si="580"/>
        <v>0</v>
      </c>
      <c r="P2069" s="287">
        <f t="shared" si="581"/>
        <v>0</v>
      </c>
      <c r="Q2069" s="288"/>
      <c r="R2069" s="243" t="str">
        <f>IF(P2066&gt;0,"xy","")</f>
        <v/>
      </c>
      <c r="S2069" s="378" t="str">
        <f t="shared" si="565"/>
        <v/>
      </c>
    </row>
    <row r="2070" spans="2:19" hidden="1" x14ac:dyDescent="0.2">
      <c r="B2070" s="730" t="s">
        <v>168</v>
      </c>
      <c r="C2070" s="300"/>
      <c r="D2070" s="383" t="s">
        <v>349</v>
      </c>
      <c r="E2070" s="704"/>
      <c r="F2070" s="661">
        <v>20</v>
      </c>
      <c r="G2070" s="665">
        <v>0.25</v>
      </c>
      <c r="H2070" s="663">
        <f>IF(F2070&lt;=30,(1.05*F2070+2.18)*G2070,((1.05*30+2.18)+0.87*(F2070-30))*G2070)</f>
        <v>5.7949999999999999</v>
      </c>
      <c r="I2070" s="380"/>
      <c r="J2070" s="631"/>
      <c r="K2070" s="593">
        <f t="shared" si="579"/>
        <v>0</v>
      </c>
      <c r="L2070" s="594"/>
      <c r="M2070" s="600"/>
      <c r="N2070" s="600">
        <v>0</v>
      </c>
      <c r="O2070" s="287">
        <f t="shared" si="580"/>
        <v>0</v>
      </c>
      <c r="P2070" s="287">
        <f t="shared" si="581"/>
        <v>0</v>
      </c>
      <c r="Q2070" s="288"/>
      <c r="R2070" s="311" t="str">
        <f>IF(P2066&gt;0,"xy","")</f>
        <v/>
      </c>
      <c r="S2070" s="378" t="str">
        <f t="shared" si="565"/>
        <v/>
      </c>
    </row>
    <row r="2071" spans="2:19" hidden="1" x14ac:dyDescent="0.2">
      <c r="B2071" s="730" t="s">
        <v>1879</v>
      </c>
      <c r="C2071" s="300" t="s">
        <v>207</v>
      </c>
      <c r="D2071" s="383" t="s">
        <v>395</v>
      </c>
      <c r="E2071" s="704"/>
      <c r="F2071" s="661"/>
      <c r="G2071" s="665"/>
      <c r="H2071" s="664">
        <f>SUM(H2072:H2075)</f>
        <v>43.222971000000001</v>
      </c>
      <c r="I2071" s="380">
        <v>339.03</v>
      </c>
      <c r="J2071" s="631">
        <f t="shared" ref="J2071" si="583">IF(ISBLANK(I2071),"",SUM(H2071:I2071))</f>
        <v>382.252971</v>
      </c>
      <c r="K2071" s="593">
        <f t="shared" si="564"/>
        <v>484.51</v>
      </c>
      <c r="L2071" s="594" t="s">
        <v>19</v>
      </c>
      <c r="M2071" s="30"/>
      <c r="N2071" s="30">
        <v>484.51</v>
      </c>
      <c r="O2071" s="287">
        <f t="shared" si="572"/>
        <v>0</v>
      </c>
      <c r="P2071" s="287">
        <f t="shared" si="573"/>
        <v>0</v>
      </c>
      <c r="Q2071" s="288"/>
      <c r="S2071" s="378" t="str">
        <f t="shared" si="565"/>
        <v/>
      </c>
    </row>
    <row r="2072" spans="2:19" hidden="1" x14ac:dyDescent="0.2">
      <c r="B2072" s="730" t="s">
        <v>168</v>
      </c>
      <c r="C2072" s="300"/>
      <c r="D2072" s="383" t="s">
        <v>213</v>
      </c>
      <c r="E2072" s="704"/>
      <c r="F2072" s="661">
        <v>500</v>
      </c>
      <c r="G2072" s="665">
        <v>3.4500000000000003E-2</v>
      </c>
      <c r="H2072" s="664">
        <f>IF(F2072&lt;=30,(0.75*F2072+6.29)*G2072,((0.75*30+6.29)+0.62*(F2072-30))*G2072)</f>
        <v>11.046555000000001</v>
      </c>
      <c r="I2072" s="380"/>
      <c r="J2072" s="631"/>
      <c r="K2072" s="593">
        <f t="shared" si="564"/>
        <v>0</v>
      </c>
      <c r="L2072" s="594"/>
      <c r="M2072" s="600"/>
      <c r="N2072" s="600">
        <v>0</v>
      </c>
      <c r="O2072" s="287">
        <f t="shared" si="572"/>
        <v>0</v>
      </c>
      <c r="P2072" s="287">
        <f t="shared" si="573"/>
        <v>0</v>
      </c>
      <c r="Q2072" s="288"/>
      <c r="R2072" s="311" t="str">
        <f>IF(P2071&gt;0,"xy","")</f>
        <v/>
      </c>
      <c r="S2072" s="378" t="str">
        <f t="shared" si="565"/>
        <v/>
      </c>
    </row>
    <row r="2073" spans="2:19" hidden="1" x14ac:dyDescent="0.2">
      <c r="B2073" s="730" t="s">
        <v>168</v>
      </c>
      <c r="C2073" s="300"/>
      <c r="D2073" s="383" t="s">
        <v>249</v>
      </c>
      <c r="E2073" s="704"/>
      <c r="F2073" s="661">
        <v>180</v>
      </c>
      <c r="G2073" s="665">
        <v>0.12690000000000001</v>
      </c>
      <c r="H2073" s="663">
        <f t="shared" ref="H2073" si="584">IF(F2073&lt;=30,(1.05*F2073+2.18)*G2073,((1.05*30+2.18)+0.87*(F2073-30))*G2073)</f>
        <v>20.834442000000003</v>
      </c>
      <c r="I2073" s="380"/>
      <c r="J2073" s="631"/>
      <c r="K2073" s="593">
        <f t="shared" si="564"/>
        <v>0</v>
      </c>
      <c r="L2073" s="594"/>
      <c r="M2073" s="600"/>
      <c r="N2073" s="600">
        <v>0</v>
      </c>
      <c r="O2073" s="287">
        <f t="shared" si="572"/>
        <v>0</v>
      </c>
      <c r="P2073" s="287">
        <f t="shared" si="573"/>
        <v>0</v>
      </c>
      <c r="Q2073" s="288"/>
      <c r="R2073" s="311" t="str">
        <f>IF(P2071&gt;0,"xy","")</f>
        <v/>
      </c>
      <c r="S2073" s="378" t="str">
        <f t="shared" si="565"/>
        <v/>
      </c>
    </row>
    <row r="2074" spans="2:19" hidden="1" x14ac:dyDescent="0.2">
      <c r="B2074" s="730" t="s">
        <v>168</v>
      </c>
      <c r="C2074" s="300"/>
      <c r="D2074" s="383" t="s">
        <v>253</v>
      </c>
      <c r="E2074" s="704"/>
      <c r="F2074" s="661">
        <v>20</v>
      </c>
      <c r="G2074" s="665">
        <v>0.20729999999999998</v>
      </c>
      <c r="H2074" s="663">
        <f>IF(F2074&lt;=30,(1.05*F2074+2.18)*G2074,((1.05*30+2.18)+0.87*(F2074-30))*G2074)</f>
        <v>4.8052139999999994</v>
      </c>
      <c r="I2074" s="380"/>
      <c r="J2074" s="631"/>
      <c r="K2074" s="593">
        <f t="shared" si="564"/>
        <v>0</v>
      </c>
      <c r="L2074" s="594"/>
      <c r="M2074" s="600"/>
      <c r="N2074" s="600">
        <v>0</v>
      </c>
      <c r="O2074" s="287">
        <f t="shared" si="572"/>
        <v>0</v>
      </c>
      <c r="P2074" s="287">
        <f t="shared" si="573"/>
        <v>0</v>
      </c>
      <c r="Q2074" s="288"/>
      <c r="R2074" s="243" t="str">
        <f>IF(P2071&gt;0,"xy","")</f>
        <v/>
      </c>
      <c r="S2074" s="378" t="str">
        <f t="shared" si="565"/>
        <v/>
      </c>
    </row>
    <row r="2075" spans="2:19" hidden="1" x14ac:dyDescent="0.2">
      <c r="B2075" s="730" t="s">
        <v>168</v>
      </c>
      <c r="C2075" s="300"/>
      <c r="D2075" s="383" t="s">
        <v>349</v>
      </c>
      <c r="E2075" s="704"/>
      <c r="F2075" s="661">
        <v>20</v>
      </c>
      <c r="G2075" s="665">
        <v>0.28199999999999997</v>
      </c>
      <c r="H2075" s="663">
        <f>IF(F2075&lt;=30,(1.05*F2075+2.18)*G2075,((1.05*30+2.18)+0.87*(F2075-30))*G2075)</f>
        <v>6.5367599999999992</v>
      </c>
      <c r="I2075" s="380"/>
      <c r="J2075" s="631"/>
      <c r="K2075" s="593">
        <f t="shared" si="564"/>
        <v>0</v>
      </c>
      <c r="L2075" s="594"/>
      <c r="M2075" s="600"/>
      <c r="N2075" s="600">
        <v>0</v>
      </c>
      <c r="O2075" s="287">
        <f t="shared" si="572"/>
        <v>0</v>
      </c>
      <c r="P2075" s="287">
        <f t="shared" si="573"/>
        <v>0</v>
      </c>
      <c r="Q2075" s="288"/>
      <c r="R2075" s="311" t="str">
        <f>IF(P2071&gt;0,"xy","")</f>
        <v/>
      </c>
      <c r="S2075" s="378" t="str">
        <f t="shared" si="565"/>
        <v/>
      </c>
    </row>
    <row r="2076" spans="2:19" hidden="1" x14ac:dyDescent="0.2">
      <c r="B2076" s="730" t="s">
        <v>1880</v>
      </c>
      <c r="C2076" s="300" t="s">
        <v>207</v>
      </c>
      <c r="D2076" s="383" t="s">
        <v>727</v>
      </c>
      <c r="E2076" s="704"/>
      <c r="F2076" s="661"/>
      <c r="G2076" s="665"/>
      <c r="H2076" s="664">
        <f>SUM(H2077:H2080)</f>
        <v>62.421140000000001</v>
      </c>
      <c r="I2076" s="380">
        <v>462.35499999999996</v>
      </c>
      <c r="J2076" s="631">
        <f t="shared" ref="J2076" si="585">IF(ISBLANK(I2076),"",SUM(H2076:I2076))</f>
        <v>524.77613999999994</v>
      </c>
      <c r="K2076" s="593">
        <f t="shared" si="564"/>
        <v>665.15</v>
      </c>
      <c r="L2076" s="594" t="s">
        <v>19</v>
      </c>
      <c r="M2076" s="30"/>
      <c r="N2076" s="30">
        <v>665.15</v>
      </c>
      <c r="O2076" s="287">
        <f t="shared" si="572"/>
        <v>0</v>
      </c>
      <c r="P2076" s="287">
        <f t="shared" si="573"/>
        <v>0</v>
      </c>
      <c r="Q2076" s="288"/>
      <c r="S2076" s="378" t="str">
        <f t="shared" si="565"/>
        <v/>
      </c>
    </row>
    <row r="2077" spans="2:19" hidden="1" x14ac:dyDescent="0.2">
      <c r="B2077" s="730" t="s">
        <v>168</v>
      </c>
      <c r="C2077" s="300"/>
      <c r="D2077" s="383" t="s">
        <v>213</v>
      </c>
      <c r="E2077" s="704"/>
      <c r="F2077" s="661">
        <v>500</v>
      </c>
      <c r="G2077" s="665">
        <v>4.7199999999999999E-2</v>
      </c>
      <c r="H2077" s="664">
        <f>IF(F2077&lt;=30,(0.75*F2077+6.29)*G2077,((0.75*30+6.29)+0.62*(F2077-30))*G2077)</f>
        <v>15.112968</v>
      </c>
      <c r="I2077" s="380"/>
      <c r="J2077" s="631"/>
      <c r="K2077" s="593">
        <f t="shared" si="564"/>
        <v>0</v>
      </c>
      <c r="L2077" s="594"/>
      <c r="M2077" s="600"/>
      <c r="N2077" s="600">
        <v>0</v>
      </c>
      <c r="O2077" s="287">
        <f t="shared" si="572"/>
        <v>0</v>
      </c>
      <c r="P2077" s="287">
        <f t="shared" si="573"/>
        <v>0</v>
      </c>
      <c r="Q2077" s="288"/>
      <c r="R2077" s="311" t="str">
        <f>IF(P2076&gt;0,"xy","")</f>
        <v/>
      </c>
      <c r="S2077" s="378" t="str">
        <f t="shared" si="565"/>
        <v/>
      </c>
    </row>
    <row r="2078" spans="2:19" hidden="1" x14ac:dyDescent="0.2">
      <c r="B2078" s="730" t="s">
        <v>168</v>
      </c>
      <c r="C2078" s="300"/>
      <c r="D2078" s="383" t="s">
        <v>249</v>
      </c>
      <c r="E2078" s="704"/>
      <c r="F2078" s="661">
        <v>180</v>
      </c>
      <c r="G2078" s="665">
        <v>0.17269999999999999</v>
      </c>
      <c r="H2078" s="663">
        <f t="shared" ref="H2078" si="586">IF(F2078&lt;=30,(1.05*F2078+2.18)*G2078,((1.05*30+2.18)+0.87*(F2078-30))*G2078)</f>
        <v>28.353885999999999</v>
      </c>
      <c r="I2078" s="380"/>
      <c r="J2078" s="631"/>
      <c r="K2078" s="593">
        <f t="shared" si="564"/>
        <v>0</v>
      </c>
      <c r="L2078" s="594"/>
      <c r="M2078" s="600"/>
      <c r="N2078" s="600">
        <v>0</v>
      </c>
      <c r="O2078" s="287">
        <f t="shared" si="572"/>
        <v>0</v>
      </c>
      <c r="P2078" s="287">
        <f t="shared" si="573"/>
        <v>0</v>
      </c>
      <c r="Q2078" s="288"/>
      <c r="R2078" s="311" t="str">
        <f>IF(P2076&gt;0,"xy","")</f>
        <v/>
      </c>
      <c r="S2078" s="378" t="str">
        <f t="shared" si="565"/>
        <v/>
      </c>
    </row>
    <row r="2079" spans="2:19" hidden="1" x14ac:dyDescent="0.2">
      <c r="B2079" s="730" t="s">
        <v>168</v>
      </c>
      <c r="C2079" s="300"/>
      <c r="D2079" s="383" t="s">
        <v>253</v>
      </c>
      <c r="E2079" s="704"/>
      <c r="F2079" s="661">
        <v>20</v>
      </c>
      <c r="G2079" s="665">
        <v>0.28770000000000001</v>
      </c>
      <c r="H2079" s="663">
        <f>IF(F2079&lt;=30,(1.05*F2079+2.18)*G2079,((1.05*30+2.18)+0.87*(F2079-30))*G2079)</f>
        <v>6.6688860000000005</v>
      </c>
      <c r="I2079" s="380"/>
      <c r="J2079" s="631"/>
      <c r="K2079" s="593">
        <f t="shared" si="564"/>
        <v>0</v>
      </c>
      <c r="L2079" s="594"/>
      <c r="M2079" s="600"/>
      <c r="N2079" s="600">
        <v>0</v>
      </c>
      <c r="O2079" s="287">
        <f t="shared" si="572"/>
        <v>0</v>
      </c>
      <c r="P2079" s="287">
        <f t="shared" si="573"/>
        <v>0</v>
      </c>
      <c r="Q2079" s="288"/>
      <c r="R2079" s="243" t="str">
        <f>IF(P2076&gt;0,"xy","")</f>
        <v/>
      </c>
      <c r="S2079" s="378" t="str">
        <f t="shared" si="565"/>
        <v/>
      </c>
    </row>
    <row r="2080" spans="2:19" hidden="1" x14ac:dyDescent="0.2">
      <c r="B2080" s="730" t="s">
        <v>168</v>
      </c>
      <c r="C2080" s="300"/>
      <c r="D2080" s="383" t="s">
        <v>349</v>
      </c>
      <c r="E2080" s="704"/>
      <c r="F2080" s="661">
        <v>20</v>
      </c>
      <c r="G2080" s="665">
        <v>0.53</v>
      </c>
      <c r="H2080" s="663">
        <f>IF(F2080&lt;=30,(1.05*F2080+2.18)*G2080,((1.05*30+2.18)+0.87*(F2080-30))*G2080)</f>
        <v>12.285400000000001</v>
      </c>
      <c r="I2080" s="380"/>
      <c r="J2080" s="631"/>
      <c r="K2080" s="593">
        <f t="shared" si="564"/>
        <v>0</v>
      </c>
      <c r="L2080" s="594"/>
      <c r="M2080" s="600"/>
      <c r="N2080" s="600">
        <v>0</v>
      </c>
      <c r="O2080" s="287">
        <f t="shared" si="572"/>
        <v>0</v>
      </c>
      <c r="P2080" s="287">
        <f t="shared" si="573"/>
        <v>0</v>
      </c>
      <c r="Q2080" s="288"/>
      <c r="R2080" s="311" t="str">
        <f>IF(P2076&gt;0,"xy","")</f>
        <v/>
      </c>
      <c r="S2080" s="378" t="str">
        <f t="shared" si="565"/>
        <v/>
      </c>
    </row>
    <row r="2081" spans="2:19" hidden="1" x14ac:dyDescent="0.2">
      <c r="B2081" s="730" t="s">
        <v>1881</v>
      </c>
      <c r="C2081" s="300" t="s">
        <v>207</v>
      </c>
      <c r="D2081" s="383" t="s">
        <v>396</v>
      </c>
      <c r="E2081" s="704"/>
      <c r="F2081" s="661"/>
      <c r="G2081" s="665"/>
      <c r="H2081" s="664">
        <f>SUM(H2082:H2085)</f>
        <v>79.563051000000002</v>
      </c>
      <c r="I2081" s="380">
        <v>585.67999999999995</v>
      </c>
      <c r="J2081" s="631">
        <f t="shared" ref="J2081" si="587">IF(ISBLANK(I2081),"",SUM(H2081:I2081))</f>
        <v>665.24305099999992</v>
      </c>
      <c r="K2081" s="593">
        <f t="shared" si="564"/>
        <v>843.2</v>
      </c>
      <c r="L2081" s="594" t="s">
        <v>19</v>
      </c>
      <c r="M2081" s="30"/>
      <c r="N2081" s="30">
        <v>843.2</v>
      </c>
      <c r="O2081" s="287">
        <f t="shared" si="572"/>
        <v>0</v>
      </c>
      <c r="P2081" s="287">
        <f t="shared" si="573"/>
        <v>0</v>
      </c>
      <c r="Q2081" s="288"/>
      <c r="S2081" s="378" t="str">
        <f t="shared" si="565"/>
        <v/>
      </c>
    </row>
    <row r="2082" spans="2:19" hidden="1" x14ac:dyDescent="0.2">
      <c r="B2082" s="730" t="s">
        <v>168</v>
      </c>
      <c r="C2082" s="300"/>
      <c r="D2082" s="383" t="s">
        <v>213</v>
      </c>
      <c r="E2082" s="704"/>
      <c r="F2082" s="661">
        <v>500</v>
      </c>
      <c r="G2082" s="665">
        <v>5.9900000000000002E-2</v>
      </c>
      <c r="H2082" s="664">
        <f>IF(F2082&lt;=30,(0.75*F2082+6.29)*G2082,((0.75*30+6.29)+0.62*(F2082-30))*G2082)</f>
        <v>19.179380999999999</v>
      </c>
      <c r="I2082" s="380"/>
      <c r="J2082" s="631"/>
      <c r="K2082" s="593">
        <f t="shared" si="564"/>
        <v>0</v>
      </c>
      <c r="L2082" s="594"/>
      <c r="M2082" s="600"/>
      <c r="N2082" s="600">
        <v>0</v>
      </c>
      <c r="O2082" s="287">
        <f t="shared" si="572"/>
        <v>0</v>
      </c>
      <c r="P2082" s="287">
        <f t="shared" si="573"/>
        <v>0</v>
      </c>
      <c r="Q2082" s="288"/>
      <c r="R2082" s="311" t="str">
        <f>IF(P2081&gt;0,"xy","")</f>
        <v/>
      </c>
      <c r="S2082" s="378" t="str">
        <f t="shared" si="565"/>
        <v/>
      </c>
    </row>
    <row r="2083" spans="2:19" hidden="1" x14ac:dyDescent="0.2">
      <c r="B2083" s="730" t="s">
        <v>168</v>
      </c>
      <c r="C2083" s="300"/>
      <c r="D2083" s="383" t="s">
        <v>249</v>
      </c>
      <c r="E2083" s="704"/>
      <c r="F2083" s="661">
        <v>180</v>
      </c>
      <c r="G2083" s="665">
        <v>0.21840000000000001</v>
      </c>
      <c r="H2083" s="663">
        <f t="shared" ref="H2083" si="588">IF(F2083&lt;=30,(1.05*F2083+2.18)*G2083,((1.05*30+2.18)+0.87*(F2083-30))*G2083)</f>
        <v>35.856912000000001</v>
      </c>
      <c r="I2083" s="380"/>
      <c r="J2083" s="631"/>
      <c r="K2083" s="593">
        <f t="shared" si="564"/>
        <v>0</v>
      </c>
      <c r="L2083" s="594"/>
      <c r="M2083" s="600"/>
      <c r="N2083" s="600">
        <v>0</v>
      </c>
      <c r="O2083" s="287">
        <f t="shared" si="572"/>
        <v>0</v>
      </c>
      <c r="P2083" s="287">
        <f t="shared" si="573"/>
        <v>0</v>
      </c>
      <c r="Q2083" s="288"/>
      <c r="R2083" s="311" t="str">
        <f>IF(P2081&gt;0,"xy","")</f>
        <v/>
      </c>
      <c r="S2083" s="378" t="str">
        <f t="shared" si="565"/>
        <v/>
      </c>
    </row>
    <row r="2084" spans="2:19" hidden="1" x14ac:dyDescent="0.2">
      <c r="B2084" s="730" t="s">
        <v>168</v>
      </c>
      <c r="C2084" s="300"/>
      <c r="D2084" s="383" t="s">
        <v>253</v>
      </c>
      <c r="E2084" s="704"/>
      <c r="F2084" s="661">
        <v>20</v>
      </c>
      <c r="G2084" s="665">
        <v>0.36809999999999998</v>
      </c>
      <c r="H2084" s="663">
        <f>IF(F2084&lt;=30,(1.05*F2084+2.18)*G2084,((1.05*30+2.18)+0.87*(F2084-30))*G2084)</f>
        <v>8.5325579999999999</v>
      </c>
      <c r="I2084" s="380"/>
      <c r="J2084" s="631"/>
      <c r="K2084" s="593">
        <f t="shared" si="564"/>
        <v>0</v>
      </c>
      <c r="L2084" s="594"/>
      <c r="M2084" s="600"/>
      <c r="N2084" s="600">
        <v>0</v>
      </c>
      <c r="O2084" s="287">
        <f t="shared" si="572"/>
        <v>0</v>
      </c>
      <c r="P2084" s="287">
        <f t="shared" si="573"/>
        <v>0</v>
      </c>
      <c r="Q2084" s="288"/>
      <c r="R2084" s="243" t="str">
        <f>IF(P2081&gt;0,"xy","")</f>
        <v/>
      </c>
      <c r="S2084" s="378" t="str">
        <f t="shared" si="565"/>
        <v/>
      </c>
    </row>
    <row r="2085" spans="2:19" hidden="1" x14ac:dyDescent="0.2">
      <c r="B2085" s="730" t="s">
        <v>168</v>
      </c>
      <c r="C2085" s="300"/>
      <c r="D2085" s="383" t="s">
        <v>349</v>
      </c>
      <c r="E2085" s="704"/>
      <c r="F2085" s="661">
        <v>20</v>
      </c>
      <c r="G2085" s="665">
        <v>0.69</v>
      </c>
      <c r="H2085" s="663">
        <f>IF(F2085&lt;=30,(1.05*F2085+2.18)*G2085,((1.05*30+2.18)+0.87*(F2085-30))*G2085)</f>
        <v>15.994199999999999</v>
      </c>
      <c r="I2085" s="380"/>
      <c r="J2085" s="631"/>
      <c r="K2085" s="593">
        <f t="shared" si="564"/>
        <v>0</v>
      </c>
      <c r="L2085" s="594"/>
      <c r="M2085" s="600"/>
      <c r="N2085" s="600">
        <v>0</v>
      </c>
      <c r="O2085" s="287">
        <f t="shared" si="572"/>
        <v>0</v>
      </c>
      <c r="P2085" s="287">
        <f t="shared" si="573"/>
        <v>0</v>
      </c>
      <c r="Q2085" s="288"/>
      <c r="R2085" s="311" t="str">
        <f>IF(P2081&gt;0,"xy","")</f>
        <v/>
      </c>
      <c r="S2085" s="378" t="str">
        <f t="shared" si="565"/>
        <v/>
      </c>
    </row>
    <row r="2086" spans="2:19" hidden="1" x14ac:dyDescent="0.2">
      <c r="B2086" s="730" t="s">
        <v>1894</v>
      </c>
      <c r="C2086" s="300" t="s">
        <v>207</v>
      </c>
      <c r="D2086" s="383" t="s">
        <v>728</v>
      </c>
      <c r="E2086" s="704"/>
      <c r="F2086" s="661"/>
      <c r="G2086" s="665"/>
      <c r="H2086" s="664">
        <f>SUM(H2087:H2090)</f>
        <v>99.813888000000006</v>
      </c>
      <c r="I2086" s="380">
        <v>683.29</v>
      </c>
      <c r="J2086" s="631">
        <f t="shared" ref="J2086" si="589">IF(ISBLANK(I2086),"",SUM(H2086:I2086))</f>
        <v>783.10388799999998</v>
      </c>
      <c r="K2086" s="593">
        <f t="shared" si="564"/>
        <v>992.58</v>
      </c>
      <c r="L2086" s="594" t="s">
        <v>19</v>
      </c>
      <c r="M2086" s="30"/>
      <c r="N2086" s="30">
        <v>992.58</v>
      </c>
      <c r="O2086" s="287">
        <f t="shared" si="572"/>
        <v>0</v>
      </c>
      <c r="P2086" s="287">
        <f t="shared" si="573"/>
        <v>0</v>
      </c>
      <c r="Q2086" s="288"/>
      <c r="S2086" s="378" t="str">
        <f t="shared" si="565"/>
        <v/>
      </c>
    </row>
    <row r="2087" spans="2:19" hidden="1" x14ac:dyDescent="0.2">
      <c r="B2087" s="730" t="s">
        <v>168</v>
      </c>
      <c r="C2087" s="300"/>
      <c r="D2087" s="383" t="s">
        <v>213</v>
      </c>
      <c r="E2087" s="704"/>
      <c r="F2087" s="661">
        <v>500</v>
      </c>
      <c r="G2087" s="665">
        <v>7.5800000000000006E-2</v>
      </c>
      <c r="H2087" s="664">
        <f>IF(F2087&lt;=30,(0.75*F2087+6.29)*G2087,((0.75*30+6.29)+0.62*(F2087-30))*G2087)</f>
        <v>24.270402000000001</v>
      </c>
      <c r="I2087" s="380"/>
      <c r="J2087" s="631"/>
      <c r="K2087" s="593">
        <f t="shared" si="564"/>
        <v>0</v>
      </c>
      <c r="L2087" s="594"/>
      <c r="M2087" s="600"/>
      <c r="N2087" s="600">
        <v>0</v>
      </c>
      <c r="O2087" s="287">
        <f t="shared" si="572"/>
        <v>0</v>
      </c>
      <c r="P2087" s="287">
        <f t="shared" si="573"/>
        <v>0</v>
      </c>
      <c r="Q2087" s="288"/>
      <c r="R2087" s="311" t="str">
        <f>IF(P2086&gt;0,"xy","")</f>
        <v/>
      </c>
      <c r="S2087" s="378" t="str">
        <f t="shared" si="565"/>
        <v/>
      </c>
    </row>
    <row r="2088" spans="2:19" hidden="1" x14ac:dyDescent="0.2">
      <c r="B2088" s="730" t="s">
        <v>168</v>
      </c>
      <c r="C2088" s="300"/>
      <c r="D2088" s="383" t="s">
        <v>249</v>
      </c>
      <c r="E2088" s="704"/>
      <c r="F2088" s="661">
        <v>180</v>
      </c>
      <c r="G2088" s="665">
        <v>0.27639999999999998</v>
      </c>
      <c r="H2088" s="663">
        <f t="shared" ref="H2088" si="590">IF(F2088&lt;=30,(1.05*F2088+2.18)*G2088,((1.05*30+2.18)+0.87*(F2088-30))*G2088)</f>
        <v>45.379351999999997</v>
      </c>
      <c r="I2088" s="380"/>
      <c r="J2088" s="631"/>
      <c r="K2088" s="593">
        <f t="shared" si="564"/>
        <v>0</v>
      </c>
      <c r="L2088" s="594"/>
      <c r="M2088" s="600"/>
      <c r="N2088" s="600">
        <v>0</v>
      </c>
      <c r="O2088" s="287">
        <f t="shared" si="572"/>
        <v>0</v>
      </c>
      <c r="P2088" s="287">
        <f t="shared" si="573"/>
        <v>0</v>
      </c>
      <c r="Q2088" s="288"/>
      <c r="R2088" s="311" t="str">
        <f>IF(P2086&gt;0,"xy","")</f>
        <v/>
      </c>
      <c r="S2088" s="378" t="str">
        <f t="shared" si="565"/>
        <v/>
      </c>
    </row>
    <row r="2089" spans="2:19" hidden="1" x14ac:dyDescent="0.2">
      <c r="B2089" s="730" t="s">
        <v>168</v>
      </c>
      <c r="C2089" s="300"/>
      <c r="D2089" s="383" t="s">
        <v>253</v>
      </c>
      <c r="E2089" s="704"/>
      <c r="F2089" s="661">
        <v>20</v>
      </c>
      <c r="G2089" s="665">
        <v>0.46629999999999999</v>
      </c>
      <c r="H2089" s="663">
        <f>IF(F2089&lt;=30,(1.05*F2089+2.18)*G2089,((1.05*30+2.18)+0.87*(F2089-30))*G2089)</f>
        <v>10.808833999999999</v>
      </c>
      <c r="I2089" s="380"/>
      <c r="J2089" s="631"/>
      <c r="K2089" s="593">
        <f t="shared" si="564"/>
        <v>0</v>
      </c>
      <c r="L2089" s="594"/>
      <c r="M2089" s="600"/>
      <c r="N2089" s="600">
        <v>0</v>
      </c>
      <c r="O2089" s="287">
        <f t="shared" si="572"/>
        <v>0</v>
      </c>
      <c r="P2089" s="287">
        <f t="shared" si="573"/>
        <v>0</v>
      </c>
      <c r="Q2089" s="288"/>
      <c r="R2089" s="243" t="str">
        <f>IF(P2086&gt;0,"xy","")</f>
        <v/>
      </c>
      <c r="S2089" s="378" t="str">
        <f t="shared" si="565"/>
        <v/>
      </c>
    </row>
    <row r="2090" spans="2:19" hidden="1" x14ac:dyDescent="0.2">
      <c r="B2090" s="730" t="s">
        <v>168</v>
      </c>
      <c r="C2090" s="300"/>
      <c r="D2090" s="383" t="s">
        <v>349</v>
      </c>
      <c r="E2090" s="704"/>
      <c r="F2090" s="661">
        <v>20</v>
      </c>
      <c r="G2090" s="665">
        <v>0.83499999999999996</v>
      </c>
      <c r="H2090" s="663">
        <f>IF(F2090&lt;=30,(1.05*F2090+2.18)*G2090,((1.05*30+2.18)+0.87*(F2090-30))*G2090)</f>
        <v>19.3553</v>
      </c>
      <c r="I2090" s="380"/>
      <c r="J2090" s="631"/>
      <c r="K2090" s="593">
        <f t="shared" si="564"/>
        <v>0</v>
      </c>
      <c r="L2090" s="594"/>
      <c r="M2090" s="600"/>
      <c r="N2090" s="600">
        <v>0</v>
      </c>
      <c r="O2090" s="287">
        <f t="shared" si="572"/>
        <v>0</v>
      </c>
      <c r="P2090" s="287">
        <f t="shared" si="573"/>
        <v>0</v>
      </c>
      <c r="Q2090" s="288"/>
      <c r="R2090" s="311" t="str">
        <f>IF(P2086&gt;0,"xy","")</f>
        <v/>
      </c>
      <c r="S2090" s="378" t="str">
        <f t="shared" si="565"/>
        <v/>
      </c>
    </row>
    <row r="2091" spans="2:19" hidden="1" x14ac:dyDescent="0.2">
      <c r="B2091" s="730" t="s">
        <v>1895</v>
      </c>
      <c r="C2091" s="300" t="s">
        <v>207</v>
      </c>
      <c r="D2091" s="383" t="s">
        <v>397</v>
      </c>
      <c r="E2091" s="704"/>
      <c r="F2091" s="661"/>
      <c r="G2091" s="665"/>
      <c r="H2091" s="664">
        <f>SUM(H2092:H2095)</f>
        <v>120.50958900000001</v>
      </c>
      <c r="I2091" s="380">
        <v>780.90000000000009</v>
      </c>
      <c r="J2091" s="631">
        <f t="shared" ref="J2091" si="591">IF(ISBLANK(I2091),"",SUM(H2091:I2091))</f>
        <v>901.4095890000001</v>
      </c>
      <c r="K2091" s="593">
        <f t="shared" si="564"/>
        <v>1142.54</v>
      </c>
      <c r="L2091" s="594" t="s">
        <v>19</v>
      </c>
      <c r="M2091" s="30"/>
      <c r="N2091" s="30">
        <v>1142.54</v>
      </c>
      <c r="O2091" s="287">
        <f t="shared" si="572"/>
        <v>0</v>
      </c>
      <c r="P2091" s="287">
        <f t="shared" si="573"/>
        <v>0</v>
      </c>
      <c r="Q2091" s="288"/>
      <c r="S2091" s="378" t="str">
        <f t="shared" si="565"/>
        <v/>
      </c>
    </row>
    <row r="2092" spans="2:19" hidden="1" x14ac:dyDescent="0.2">
      <c r="B2092" s="730" t="s">
        <v>168</v>
      </c>
      <c r="C2092" s="300"/>
      <c r="D2092" s="383" t="s">
        <v>213</v>
      </c>
      <c r="E2092" s="704"/>
      <c r="F2092" s="661">
        <v>500</v>
      </c>
      <c r="G2092" s="665">
        <v>9.1700000000000004E-2</v>
      </c>
      <c r="H2092" s="664">
        <f>IF(F2092&lt;=30,(0.75*F2092+6.29)*G2092,((0.75*30+6.29)+0.62*(F2092-30))*G2092)</f>
        <v>29.361423000000002</v>
      </c>
      <c r="I2092" s="380"/>
      <c r="J2092" s="631"/>
      <c r="K2092" s="593">
        <f t="shared" si="564"/>
        <v>0</v>
      </c>
      <c r="L2092" s="594"/>
      <c r="M2092" s="600"/>
      <c r="N2092" s="600">
        <v>0</v>
      </c>
      <c r="O2092" s="287">
        <f t="shared" si="572"/>
        <v>0</v>
      </c>
      <c r="P2092" s="287">
        <f t="shared" si="573"/>
        <v>0</v>
      </c>
      <c r="Q2092" s="288"/>
      <c r="R2092" s="311" t="str">
        <f>IF(P2091&gt;0,"xy","")</f>
        <v/>
      </c>
      <c r="S2092" s="378" t="str">
        <f t="shared" si="565"/>
        <v/>
      </c>
    </row>
    <row r="2093" spans="2:19" hidden="1" x14ac:dyDescent="0.2">
      <c r="B2093" s="730" t="s">
        <v>168</v>
      </c>
      <c r="C2093" s="300"/>
      <c r="D2093" s="383" t="s">
        <v>249</v>
      </c>
      <c r="E2093" s="704"/>
      <c r="F2093" s="661">
        <v>180</v>
      </c>
      <c r="G2093" s="665">
        <v>0.33429999999999999</v>
      </c>
      <c r="H2093" s="663">
        <f t="shared" ref="H2093" si="592">IF(F2093&lt;=30,(1.05*F2093+2.18)*G2093,((1.05*30+2.18)+0.87*(F2093-30))*G2093)</f>
        <v>54.885373999999999</v>
      </c>
      <c r="I2093" s="380"/>
      <c r="J2093" s="631"/>
      <c r="K2093" s="593">
        <f t="shared" si="564"/>
        <v>0</v>
      </c>
      <c r="L2093" s="594"/>
      <c r="M2093" s="600"/>
      <c r="N2093" s="600">
        <v>0</v>
      </c>
      <c r="O2093" s="287">
        <f t="shared" si="572"/>
        <v>0</v>
      </c>
      <c r="P2093" s="287">
        <f t="shared" si="573"/>
        <v>0</v>
      </c>
      <c r="Q2093" s="288"/>
      <c r="R2093" s="311" t="str">
        <f>IF(P2091&gt;0,"xy","")</f>
        <v/>
      </c>
      <c r="S2093" s="378" t="str">
        <f t="shared" si="565"/>
        <v/>
      </c>
    </row>
    <row r="2094" spans="2:19" hidden="1" x14ac:dyDescent="0.2">
      <c r="B2094" s="730" t="s">
        <v>168</v>
      </c>
      <c r="C2094" s="300"/>
      <c r="D2094" s="383" t="s">
        <v>253</v>
      </c>
      <c r="E2094" s="704"/>
      <c r="F2094" s="661">
        <v>20</v>
      </c>
      <c r="G2094" s="665">
        <v>0.56440000000000001</v>
      </c>
      <c r="H2094" s="663">
        <f>IF(F2094&lt;=30,(1.05*F2094+2.18)*G2094,((1.05*30+2.18)+0.87*(F2094-30))*G2094)</f>
        <v>13.082792</v>
      </c>
      <c r="I2094" s="380"/>
      <c r="J2094" s="631"/>
      <c r="K2094" s="593">
        <f t="shared" si="564"/>
        <v>0</v>
      </c>
      <c r="L2094" s="594"/>
      <c r="M2094" s="600"/>
      <c r="N2094" s="600">
        <v>0</v>
      </c>
      <c r="O2094" s="287">
        <f t="shared" si="572"/>
        <v>0</v>
      </c>
      <c r="P2094" s="287">
        <f t="shared" si="573"/>
        <v>0</v>
      </c>
      <c r="Q2094" s="288"/>
      <c r="R2094" s="243" t="str">
        <f>IF(P2091&gt;0,"xy","")</f>
        <v/>
      </c>
      <c r="S2094" s="378" t="str">
        <f t="shared" si="565"/>
        <v/>
      </c>
    </row>
    <row r="2095" spans="2:19" hidden="1" x14ac:dyDescent="0.2">
      <c r="B2095" s="730" t="s">
        <v>168</v>
      </c>
      <c r="C2095" s="300"/>
      <c r="D2095" s="383" t="s">
        <v>349</v>
      </c>
      <c r="E2095" s="704"/>
      <c r="F2095" s="661">
        <v>20</v>
      </c>
      <c r="G2095" s="665">
        <v>1</v>
      </c>
      <c r="H2095" s="663">
        <f>IF(F2095&lt;=30,(1.05*F2095+2.18)*G2095,((1.05*30+2.18)+0.87*(F2095-30))*G2095)</f>
        <v>23.18</v>
      </c>
      <c r="I2095" s="380"/>
      <c r="J2095" s="631"/>
      <c r="K2095" s="593">
        <f t="shared" si="564"/>
        <v>0</v>
      </c>
      <c r="L2095" s="594"/>
      <c r="M2095" s="600"/>
      <c r="N2095" s="600">
        <v>0</v>
      </c>
      <c r="O2095" s="287">
        <f t="shared" si="572"/>
        <v>0</v>
      </c>
      <c r="P2095" s="287">
        <f t="shared" si="573"/>
        <v>0</v>
      </c>
      <c r="Q2095" s="288"/>
      <c r="R2095" s="311" t="str">
        <f>IF(P2091&gt;0,"xy","")</f>
        <v/>
      </c>
      <c r="S2095" s="378" t="str">
        <f t="shared" si="565"/>
        <v/>
      </c>
    </row>
    <row r="2096" spans="2:19" hidden="1" x14ac:dyDescent="0.2">
      <c r="B2096" s="730">
        <v>611300</v>
      </c>
      <c r="C2096" s="300" t="s">
        <v>207</v>
      </c>
      <c r="D2096" s="383" t="s">
        <v>398</v>
      </c>
      <c r="E2096" s="704"/>
      <c r="F2096" s="661"/>
      <c r="G2096" s="665"/>
      <c r="H2096" s="664">
        <f>SUM(H2097:H2100)</f>
        <v>168.29582800000003</v>
      </c>
      <c r="I2096" s="380">
        <v>1086.26</v>
      </c>
      <c r="J2096" s="631">
        <f t="shared" ref="J2096" si="593">IF(ISBLANK(I2096),"",SUM(H2096:I2096))</f>
        <v>1254.555828</v>
      </c>
      <c r="K2096" s="593">
        <f t="shared" si="564"/>
        <v>1590.15</v>
      </c>
      <c r="L2096" s="594" t="s">
        <v>19</v>
      </c>
      <c r="M2096" s="30"/>
      <c r="N2096" s="30">
        <v>1590.15</v>
      </c>
      <c r="O2096" s="287">
        <f t="shared" si="572"/>
        <v>0</v>
      </c>
      <c r="P2096" s="287">
        <f t="shared" si="573"/>
        <v>0</v>
      </c>
      <c r="Q2096" s="288"/>
      <c r="S2096" s="378" t="str">
        <f t="shared" si="565"/>
        <v/>
      </c>
    </row>
    <row r="2097" spans="2:19" hidden="1" x14ac:dyDescent="0.2">
      <c r="B2097" s="730" t="s">
        <v>168</v>
      </c>
      <c r="C2097" s="300"/>
      <c r="D2097" s="383" t="s">
        <v>213</v>
      </c>
      <c r="E2097" s="704"/>
      <c r="F2097" s="661">
        <v>500</v>
      </c>
      <c r="G2097" s="665">
        <v>0.12720000000000001</v>
      </c>
      <c r="H2097" s="664">
        <f>IF(F2097&lt;=30,(0.75*F2097+6.29)*G2097,((0.75*30+6.29)+0.62*(F2097-30))*G2097)</f>
        <v>40.728168000000004</v>
      </c>
      <c r="I2097" s="380"/>
      <c r="J2097" s="631"/>
      <c r="K2097" s="593">
        <f t="shared" si="564"/>
        <v>0</v>
      </c>
      <c r="L2097" s="594"/>
      <c r="M2097" s="600"/>
      <c r="N2097" s="600">
        <v>0</v>
      </c>
      <c r="O2097" s="287">
        <f t="shared" si="572"/>
        <v>0</v>
      </c>
      <c r="P2097" s="287">
        <f t="shared" si="573"/>
        <v>0</v>
      </c>
      <c r="Q2097" s="288"/>
      <c r="R2097" s="311" t="str">
        <f>IF(P2096&gt;0,"xy","")</f>
        <v/>
      </c>
      <c r="S2097" s="378" t="str">
        <f t="shared" si="565"/>
        <v/>
      </c>
    </row>
    <row r="2098" spans="2:19" hidden="1" x14ac:dyDescent="0.2">
      <c r="B2098" s="730" t="s">
        <v>168</v>
      </c>
      <c r="C2098" s="300"/>
      <c r="D2098" s="383" t="s">
        <v>249</v>
      </c>
      <c r="E2098" s="704"/>
      <c r="F2098" s="661">
        <v>180</v>
      </c>
      <c r="G2098" s="665">
        <v>0.46300000000000002</v>
      </c>
      <c r="H2098" s="663">
        <f t="shared" ref="H2098" si="594">IF(F2098&lt;=30,(1.05*F2098+2.18)*G2098,((1.05*30+2.18)+0.87*(F2098-30))*G2098)</f>
        <v>76.015340000000009</v>
      </c>
      <c r="I2098" s="380"/>
      <c r="J2098" s="631"/>
      <c r="K2098" s="593">
        <f t="shared" si="564"/>
        <v>0</v>
      </c>
      <c r="L2098" s="594"/>
      <c r="M2098" s="600"/>
      <c r="N2098" s="600">
        <v>0</v>
      </c>
      <c r="O2098" s="287">
        <f t="shared" si="572"/>
        <v>0</v>
      </c>
      <c r="P2098" s="287">
        <f t="shared" si="573"/>
        <v>0</v>
      </c>
      <c r="Q2098" s="288"/>
      <c r="R2098" s="311" t="str">
        <f>IF(P2096&gt;0,"xy","")</f>
        <v/>
      </c>
      <c r="S2098" s="378" t="str">
        <f t="shared" si="565"/>
        <v/>
      </c>
    </row>
    <row r="2099" spans="2:19" hidden="1" x14ac:dyDescent="0.2">
      <c r="B2099" s="730" t="s">
        <v>168</v>
      </c>
      <c r="C2099" s="300"/>
      <c r="D2099" s="383" t="s">
        <v>253</v>
      </c>
      <c r="E2099" s="704"/>
      <c r="F2099" s="661">
        <v>20</v>
      </c>
      <c r="G2099" s="665">
        <v>0.78400000000000003</v>
      </c>
      <c r="H2099" s="663">
        <f>IF(F2099&lt;=30,(1.05*F2099+2.18)*G2099,((1.05*30+2.18)+0.87*(F2099-30))*G2099)</f>
        <v>18.173120000000001</v>
      </c>
      <c r="I2099" s="380"/>
      <c r="J2099" s="631"/>
      <c r="K2099" s="593">
        <f t="shared" si="564"/>
        <v>0</v>
      </c>
      <c r="L2099" s="594"/>
      <c r="M2099" s="600"/>
      <c r="N2099" s="600">
        <v>0</v>
      </c>
      <c r="O2099" s="287">
        <f t="shared" si="572"/>
        <v>0</v>
      </c>
      <c r="P2099" s="287">
        <f t="shared" si="573"/>
        <v>0</v>
      </c>
      <c r="Q2099" s="288"/>
      <c r="R2099" s="243" t="str">
        <f>IF(P2096&gt;0,"xy","")</f>
        <v/>
      </c>
      <c r="S2099" s="378" t="str">
        <f t="shared" si="565"/>
        <v/>
      </c>
    </row>
    <row r="2100" spans="2:19" hidden="1" x14ac:dyDescent="0.2">
      <c r="B2100" s="730" t="s">
        <v>168</v>
      </c>
      <c r="C2100" s="300"/>
      <c r="D2100" s="383" t="s">
        <v>349</v>
      </c>
      <c r="E2100" s="704"/>
      <c r="F2100" s="661">
        <v>20</v>
      </c>
      <c r="G2100" s="665">
        <v>1.44</v>
      </c>
      <c r="H2100" s="663">
        <f>IF(F2100&lt;=30,(1.05*F2100+2.18)*G2100,((1.05*30+2.18)+0.87*(F2100-30))*G2100)</f>
        <v>33.379199999999997</v>
      </c>
      <c r="I2100" s="380"/>
      <c r="J2100" s="631"/>
      <c r="K2100" s="593">
        <f t="shared" si="564"/>
        <v>0</v>
      </c>
      <c r="L2100" s="594"/>
      <c r="M2100" s="600"/>
      <c r="N2100" s="600">
        <v>0</v>
      </c>
      <c r="O2100" s="287">
        <f t="shared" si="572"/>
        <v>0</v>
      </c>
      <c r="P2100" s="287">
        <f t="shared" si="573"/>
        <v>0</v>
      </c>
      <c r="Q2100" s="288"/>
      <c r="R2100" s="311" t="str">
        <f>IF(P2096&gt;0,"xy","")</f>
        <v/>
      </c>
      <c r="S2100" s="378" t="str">
        <f t="shared" si="565"/>
        <v/>
      </c>
    </row>
    <row r="2101" spans="2:19" hidden="1" x14ac:dyDescent="0.2">
      <c r="B2101" s="730" t="s">
        <v>1896</v>
      </c>
      <c r="C2101" s="300" t="s">
        <v>207</v>
      </c>
      <c r="D2101" s="383" t="s">
        <v>399</v>
      </c>
      <c r="E2101" s="704"/>
      <c r="F2101" s="661"/>
      <c r="G2101" s="665"/>
      <c r="H2101" s="664">
        <f>SUM(H2102:H2105)</f>
        <v>236.41866600000003</v>
      </c>
      <c r="I2101" s="380">
        <v>1503.91</v>
      </c>
      <c r="J2101" s="631">
        <f t="shared" ref="J2101" si="595">IF(ISBLANK(I2101),"",SUM(H2101:I2101))</f>
        <v>1740.3286660000001</v>
      </c>
      <c r="K2101" s="593">
        <f t="shared" si="564"/>
        <v>2205.87</v>
      </c>
      <c r="L2101" s="594" t="s">
        <v>19</v>
      </c>
      <c r="M2101" s="30"/>
      <c r="N2101" s="30">
        <v>2205.87</v>
      </c>
      <c r="O2101" s="287">
        <f t="shared" si="572"/>
        <v>0</v>
      </c>
      <c r="P2101" s="287">
        <f t="shared" si="573"/>
        <v>0</v>
      </c>
      <c r="Q2101" s="288"/>
      <c r="S2101" s="378" t="str">
        <f t="shared" si="565"/>
        <v/>
      </c>
    </row>
    <row r="2102" spans="2:19" hidden="1" x14ac:dyDescent="0.2">
      <c r="B2102" s="730" t="s">
        <v>168</v>
      </c>
      <c r="C2102" s="300"/>
      <c r="D2102" s="383" t="s">
        <v>213</v>
      </c>
      <c r="E2102" s="704"/>
      <c r="F2102" s="661">
        <v>500</v>
      </c>
      <c r="G2102" s="665">
        <v>0.187</v>
      </c>
      <c r="H2102" s="664">
        <f>IF(F2102&lt;=30,(0.75*F2102+6.29)*G2102,((0.75*30+6.29)+0.62*(F2102-30))*G2102)</f>
        <v>59.875529999999998</v>
      </c>
      <c r="I2102" s="380"/>
      <c r="J2102" s="631"/>
      <c r="K2102" s="593">
        <f t="shared" si="564"/>
        <v>0</v>
      </c>
      <c r="L2102" s="594"/>
      <c r="M2102" s="600"/>
      <c r="N2102" s="600">
        <v>0</v>
      </c>
      <c r="O2102" s="287">
        <f t="shared" si="572"/>
        <v>0</v>
      </c>
      <c r="P2102" s="287">
        <f t="shared" si="573"/>
        <v>0</v>
      </c>
      <c r="Q2102" s="288"/>
      <c r="R2102" s="311" t="str">
        <f>IF(P2101&gt;0,"xy","")</f>
        <v/>
      </c>
      <c r="S2102" s="378" t="str">
        <f t="shared" si="565"/>
        <v/>
      </c>
    </row>
    <row r="2103" spans="2:19" hidden="1" x14ac:dyDescent="0.2">
      <c r="B2103" s="730" t="s">
        <v>168</v>
      </c>
      <c r="C2103" s="300"/>
      <c r="D2103" s="383" t="s">
        <v>249</v>
      </c>
      <c r="E2103" s="704"/>
      <c r="F2103" s="661">
        <v>180</v>
      </c>
      <c r="G2103" s="665">
        <v>0.67830000000000001</v>
      </c>
      <c r="H2103" s="663">
        <f t="shared" ref="H2103" si="596">IF(F2103&lt;=30,(1.05*F2103+2.18)*G2103,((1.05*30+2.18)+0.87*(F2103-30))*G2103)</f>
        <v>111.36329400000001</v>
      </c>
      <c r="I2103" s="380"/>
      <c r="J2103" s="631"/>
      <c r="K2103" s="593">
        <f t="shared" si="564"/>
        <v>0</v>
      </c>
      <c r="L2103" s="594"/>
      <c r="M2103" s="600"/>
      <c r="N2103" s="600">
        <v>0</v>
      </c>
      <c r="O2103" s="287">
        <f t="shared" si="572"/>
        <v>0</v>
      </c>
      <c r="P2103" s="287">
        <f t="shared" si="573"/>
        <v>0</v>
      </c>
      <c r="Q2103" s="288"/>
      <c r="R2103" s="311" t="str">
        <f>IF(P2101&gt;0,"xy","")</f>
        <v/>
      </c>
      <c r="S2103" s="378" t="str">
        <f t="shared" si="565"/>
        <v/>
      </c>
    </row>
    <row r="2104" spans="2:19" hidden="1" x14ac:dyDescent="0.2">
      <c r="B2104" s="730" t="s">
        <v>168</v>
      </c>
      <c r="C2104" s="300"/>
      <c r="D2104" s="383" t="s">
        <v>253</v>
      </c>
      <c r="E2104" s="704"/>
      <c r="F2104" s="661">
        <v>20</v>
      </c>
      <c r="G2104" s="665">
        <v>1.1618999999999999</v>
      </c>
      <c r="H2104" s="663">
        <f>IF(F2104&lt;=30,(1.05*F2104+2.18)*G2104,((1.05*30+2.18)+0.87*(F2104-30))*G2104)</f>
        <v>26.932841999999997</v>
      </c>
      <c r="I2104" s="380"/>
      <c r="J2104" s="631"/>
      <c r="K2104" s="593">
        <f t="shared" si="564"/>
        <v>0</v>
      </c>
      <c r="L2104" s="594"/>
      <c r="M2104" s="600"/>
      <c r="N2104" s="600">
        <v>0</v>
      </c>
      <c r="O2104" s="287">
        <f t="shared" si="572"/>
        <v>0</v>
      </c>
      <c r="P2104" s="287">
        <f t="shared" si="573"/>
        <v>0</v>
      </c>
      <c r="Q2104" s="288"/>
      <c r="R2104" s="243" t="str">
        <f>IF(P2101&gt;0,"xy","")</f>
        <v/>
      </c>
      <c r="S2104" s="378" t="str">
        <f t="shared" si="565"/>
        <v/>
      </c>
    </row>
    <row r="2105" spans="2:19" hidden="1" x14ac:dyDescent="0.2">
      <c r="B2105" s="730" t="s">
        <v>168</v>
      </c>
      <c r="C2105" s="300"/>
      <c r="D2105" s="383" t="s">
        <v>349</v>
      </c>
      <c r="E2105" s="704"/>
      <c r="F2105" s="661">
        <v>20</v>
      </c>
      <c r="G2105" s="665">
        <v>1.65</v>
      </c>
      <c r="H2105" s="663">
        <f>IF(F2105&lt;=30,(1.05*F2105+2.18)*G2105,((1.05*30+2.18)+0.87*(F2105-30))*G2105)</f>
        <v>38.247</v>
      </c>
      <c r="I2105" s="380"/>
      <c r="J2105" s="631"/>
      <c r="K2105" s="593">
        <f t="shared" si="564"/>
        <v>0</v>
      </c>
      <c r="L2105" s="594"/>
      <c r="M2105" s="600"/>
      <c r="N2105" s="600">
        <v>0</v>
      </c>
      <c r="O2105" s="287">
        <f t="shared" si="572"/>
        <v>0</v>
      </c>
      <c r="P2105" s="287">
        <f t="shared" si="573"/>
        <v>0</v>
      </c>
      <c r="Q2105" s="288"/>
      <c r="R2105" s="311" t="str">
        <f>IF(P2101&gt;0,"xy","")</f>
        <v/>
      </c>
      <c r="S2105" s="378" t="str">
        <f t="shared" si="565"/>
        <v/>
      </c>
    </row>
    <row r="2106" spans="2:19" hidden="1" x14ac:dyDescent="0.2">
      <c r="B2106" s="730" t="s">
        <v>1897</v>
      </c>
      <c r="C2106" s="300" t="s">
        <v>207</v>
      </c>
      <c r="D2106" s="383" t="s">
        <v>400</v>
      </c>
      <c r="E2106" s="704"/>
      <c r="F2106" s="661"/>
      <c r="G2106" s="665"/>
      <c r="H2106" s="664">
        <f>SUM(H2107:H2110)</f>
        <v>323.229827</v>
      </c>
      <c r="I2106" s="380">
        <v>1945.3052000000002</v>
      </c>
      <c r="J2106" s="631">
        <f t="shared" ref="J2106" si="597">IF(ISBLANK(I2106),"",SUM(H2106:I2106))</f>
        <v>2268.5350270000004</v>
      </c>
      <c r="K2106" s="593">
        <f t="shared" si="564"/>
        <v>2875.37</v>
      </c>
      <c r="L2106" s="594" t="s">
        <v>19</v>
      </c>
      <c r="M2106" s="30"/>
      <c r="N2106" s="30">
        <v>2875.37</v>
      </c>
      <c r="O2106" s="287">
        <f t="shared" si="572"/>
        <v>0</v>
      </c>
      <c r="P2106" s="287">
        <f t="shared" si="573"/>
        <v>0</v>
      </c>
      <c r="Q2106" s="288"/>
      <c r="S2106" s="378" t="str">
        <f t="shared" si="565"/>
        <v/>
      </c>
    </row>
    <row r="2107" spans="2:19" hidden="1" x14ac:dyDescent="0.2">
      <c r="B2107" s="730" t="s">
        <v>168</v>
      </c>
      <c r="C2107" s="300"/>
      <c r="D2107" s="383" t="s">
        <v>213</v>
      </c>
      <c r="E2107" s="704"/>
      <c r="F2107" s="661">
        <v>500</v>
      </c>
      <c r="G2107" s="665">
        <v>0.27410000000000001</v>
      </c>
      <c r="H2107" s="664">
        <f>IF(F2107&lt;=30,(0.75*F2107+6.29)*G2107,((0.75*30+6.29)+0.62*(F2107-30))*G2107)</f>
        <v>87.76407900000001</v>
      </c>
      <c r="I2107" s="380"/>
      <c r="J2107" s="631"/>
      <c r="K2107" s="593">
        <f t="shared" si="564"/>
        <v>0</v>
      </c>
      <c r="L2107" s="594"/>
      <c r="M2107" s="600"/>
      <c r="N2107" s="600">
        <v>0</v>
      </c>
      <c r="O2107" s="287">
        <f t="shared" si="572"/>
        <v>0</v>
      </c>
      <c r="P2107" s="287">
        <f t="shared" si="573"/>
        <v>0</v>
      </c>
      <c r="Q2107" s="288"/>
      <c r="R2107" s="311" t="str">
        <f>IF(P2106&gt;0,"xy","")</f>
        <v/>
      </c>
      <c r="S2107" s="378" t="str">
        <f t="shared" si="565"/>
        <v/>
      </c>
    </row>
    <row r="2108" spans="2:19" hidden="1" x14ac:dyDescent="0.2">
      <c r="B2108" s="730" t="s">
        <v>168</v>
      </c>
      <c r="C2108" s="300"/>
      <c r="D2108" s="383" t="s">
        <v>249</v>
      </c>
      <c r="E2108" s="704"/>
      <c r="F2108" s="661">
        <v>180</v>
      </c>
      <c r="G2108" s="665">
        <v>0.9748</v>
      </c>
      <c r="H2108" s="663">
        <f t="shared" ref="H2108" si="598">IF(F2108&lt;=30,(1.05*F2108+2.18)*G2108,((1.05*30+2.18)+0.87*(F2108-30))*G2108)</f>
        <v>160.042664</v>
      </c>
      <c r="I2108" s="380"/>
      <c r="J2108" s="631"/>
      <c r="K2108" s="593">
        <f t="shared" si="564"/>
        <v>0</v>
      </c>
      <c r="L2108" s="594"/>
      <c r="M2108" s="600"/>
      <c r="N2108" s="600">
        <v>0</v>
      </c>
      <c r="O2108" s="287">
        <f t="shared" si="572"/>
        <v>0</v>
      </c>
      <c r="P2108" s="287">
        <f t="shared" si="573"/>
        <v>0</v>
      </c>
      <c r="Q2108" s="288"/>
      <c r="R2108" s="311" t="str">
        <f>IF(P2106&gt;0,"xy","")</f>
        <v/>
      </c>
      <c r="S2108" s="378" t="str">
        <f t="shared" si="565"/>
        <v/>
      </c>
    </row>
    <row r="2109" spans="2:19" hidden="1" x14ac:dyDescent="0.2">
      <c r="B2109" s="730" t="s">
        <v>168</v>
      </c>
      <c r="C2109" s="300"/>
      <c r="D2109" s="383" t="s">
        <v>253</v>
      </c>
      <c r="E2109" s="704"/>
      <c r="F2109" s="661">
        <v>20</v>
      </c>
      <c r="G2109" s="665">
        <v>2.2538</v>
      </c>
      <c r="H2109" s="663">
        <f>IF(F2109&lt;=30,(1.05*F2109+2.18)*G2109,((1.05*30+2.18)+0.87*(F2109-30))*G2109)</f>
        <v>52.243084000000003</v>
      </c>
      <c r="I2109" s="380"/>
      <c r="J2109" s="631"/>
      <c r="K2109" s="593">
        <f t="shared" si="564"/>
        <v>0</v>
      </c>
      <c r="L2109" s="594"/>
      <c r="M2109" s="600"/>
      <c r="N2109" s="600">
        <v>0</v>
      </c>
      <c r="O2109" s="287">
        <f t="shared" si="572"/>
        <v>0</v>
      </c>
      <c r="P2109" s="287">
        <f t="shared" si="573"/>
        <v>0</v>
      </c>
      <c r="Q2109" s="288"/>
      <c r="R2109" s="243" t="str">
        <f>IF(P2106&gt;0,"xy","")</f>
        <v/>
      </c>
      <c r="S2109" s="378" t="str">
        <f t="shared" ref="S2109:S2172" si="599">IF(R2109="x","x",IF(R2109="y","x",IF(R2109="xy","x",IF(P2109&gt;0,"x",""))))</f>
        <v/>
      </c>
    </row>
    <row r="2110" spans="2:19" hidden="1" x14ac:dyDescent="0.2">
      <c r="B2110" s="730" t="s">
        <v>168</v>
      </c>
      <c r="C2110" s="300"/>
      <c r="D2110" s="383" t="s">
        <v>349</v>
      </c>
      <c r="E2110" s="704"/>
      <c r="F2110" s="661">
        <v>20</v>
      </c>
      <c r="G2110" s="665">
        <v>1</v>
      </c>
      <c r="H2110" s="663">
        <f>IF(F2110&lt;=30,(1.05*F2110+2.18)*G2110,((1.05*30+2.18)+0.87*(F2110-30))*G2110)</f>
        <v>23.18</v>
      </c>
      <c r="I2110" s="380"/>
      <c r="J2110" s="631"/>
      <c r="K2110" s="593">
        <f t="shared" si="564"/>
        <v>0</v>
      </c>
      <c r="L2110" s="594"/>
      <c r="M2110" s="600"/>
      <c r="N2110" s="600">
        <v>0</v>
      </c>
      <c r="O2110" s="287">
        <f t="shared" si="572"/>
        <v>0</v>
      </c>
      <c r="P2110" s="287">
        <f t="shared" si="573"/>
        <v>0</v>
      </c>
      <c r="Q2110" s="288"/>
      <c r="R2110" s="311" t="str">
        <f>IF(P2106&gt;0,"xy","")</f>
        <v/>
      </c>
      <c r="S2110" s="378" t="str">
        <f t="shared" si="599"/>
        <v/>
      </c>
    </row>
    <row r="2111" spans="2:19" hidden="1" x14ac:dyDescent="0.2">
      <c r="B2111" s="730">
        <v>611700</v>
      </c>
      <c r="C2111" s="300" t="s">
        <v>207</v>
      </c>
      <c r="D2111" s="383" t="s">
        <v>401</v>
      </c>
      <c r="E2111" s="704"/>
      <c r="F2111" s="661"/>
      <c r="G2111" s="665"/>
      <c r="H2111" s="664">
        <f>SUM(H2112:H2115)</f>
        <v>373.87264200000004</v>
      </c>
      <c r="I2111" s="380">
        <v>2883.27</v>
      </c>
      <c r="J2111" s="631">
        <f t="shared" ref="J2111" si="600">IF(ISBLANK(I2111),"",SUM(H2111:I2111))</f>
        <v>3257.1426419999998</v>
      </c>
      <c r="K2111" s="593">
        <f t="shared" si="564"/>
        <v>4128.43</v>
      </c>
      <c r="L2111" s="594" t="s">
        <v>19</v>
      </c>
      <c r="M2111" s="30"/>
      <c r="N2111" s="30">
        <v>4128.43</v>
      </c>
      <c r="O2111" s="287">
        <f t="shared" si="572"/>
        <v>0</v>
      </c>
      <c r="P2111" s="287">
        <f t="shared" si="573"/>
        <v>0</v>
      </c>
      <c r="Q2111" s="288"/>
      <c r="S2111" s="378" t="str">
        <f t="shared" si="599"/>
        <v/>
      </c>
    </row>
    <row r="2112" spans="2:19" hidden="1" x14ac:dyDescent="0.2">
      <c r="B2112" s="730" t="s">
        <v>168</v>
      </c>
      <c r="C2112" s="300"/>
      <c r="D2112" s="383" t="s">
        <v>213</v>
      </c>
      <c r="E2112" s="704"/>
      <c r="F2112" s="661">
        <v>500</v>
      </c>
      <c r="G2112" s="665">
        <v>0.30620000000000003</v>
      </c>
      <c r="H2112" s="664">
        <f>IF(F2112&lt;=30,(0.75*F2112+6.29)*G2112,((0.75*30+6.29)+0.62*(F2112-30))*G2112)</f>
        <v>98.042178000000007</v>
      </c>
      <c r="I2112" s="380"/>
      <c r="J2112" s="631"/>
      <c r="K2112" s="593">
        <f t="shared" si="564"/>
        <v>0</v>
      </c>
      <c r="L2112" s="594"/>
      <c r="M2112" s="600"/>
      <c r="N2112" s="600">
        <v>0</v>
      </c>
      <c r="O2112" s="287">
        <f t="shared" si="572"/>
        <v>0</v>
      </c>
      <c r="P2112" s="287">
        <f t="shared" si="573"/>
        <v>0</v>
      </c>
      <c r="Q2112" s="288"/>
      <c r="R2112" s="311" t="str">
        <f>IF(P2111&gt;0,"xy","")</f>
        <v/>
      </c>
      <c r="S2112" s="378" t="str">
        <f t="shared" si="599"/>
        <v/>
      </c>
    </row>
    <row r="2113" spans="2:19" hidden="1" x14ac:dyDescent="0.2">
      <c r="B2113" s="730" t="s">
        <v>168</v>
      </c>
      <c r="C2113" s="300"/>
      <c r="D2113" s="383" t="s">
        <v>249</v>
      </c>
      <c r="E2113" s="704"/>
      <c r="F2113" s="661">
        <v>180</v>
      </c>
      <c r="G2113" s="665">
        <v>1.1047</v>
      </c>
      <c r="H2113" s="663">
        <f t="shared" ref="H2113" si="601">IF(F2113&lt;=30,(1.05*F2113+2.18)*G2113,((1.05*30+2.18)+0.87*(F2113-30))*G2113)</f>
        <v>181.36964600000002</v>
      </c>
      <c r="I2113" s="380"/>
      <c r="J2113" s="631"/>
      <c r="K2113" s="593">
        <f t="shared" si="564"/>
        <v>0</v>
      </c>
      <c r="L2113" s="594"/>
      <c r="M2113" s="600"/>
      <c r="N2113" s="600">
        <v>0</v>
      </c>
      <c r="O2113" s="287">
        <f t="shared" si="572"/>
        <v>0</v>
      </c>
      <c r="P2113" s="287">
        <f t="shared" si="573"/>
        <v>0</v>
      </c>
      <c r="Q2113" s="288"/>
      <c r="R2113" s="311" t="str">
        <f>IF(P2111&gt;0,"xy","")</f>
        <v/>
      </c>
      <c r="S2113" s="378" t="str">
        <f t="shared" si="599"/>
        <v/>
      </c>
    </row>
    <row r="2114" spans="2:19" hidden="1" x14ac:dyDescent="0.2">
      <c r="B2114" s="730" t="s">
        <v>168</v>
      </c>
      <c r="C2114" s="300"/>
      <c r="D2114" s="383" t="s">
        <v>253</v>
      </c>
      <c r="E2114" s="704"/>
      <c r="F2114" s="661">
        <v>20</v>
      </c>
      <c r="G2114" s="665">
        <v>1.9251</v>
      </c>
      <c r="H2114" s="663">
        <f>IF(F2114&lt;=30,(1.05*F2114+2.18)*G2114,((1.05*30+2.18)+0.87*(F2114-30))*G2114)</f>
        <v>44.623818</v>
      </c>
      <c r="I2114" s="380"/>
      <c r="J2114" s="631"/>
      <c r="K2114" s="593">
        <f t="shared" ref="K2114:K2177" si="602">IF(ISBLANK(I2114),0,ROUND(J2114*(1+$F$10)*(1+$F$11*E2114),2))</f>
        <v>0</v>
      </c>
      <c r="L2114" s="594"/>
      <c r="M2114" s="600"/>
      <c r="N2114" s="600">
        <v>0</v>
      </c>
      <c r="O2114" s="287">
        <f t="shared" si="572"/>
        <v>0</v>
      </c>
      <c r="P2114" s="287">
        <f t="shared" si="573"/>
        <v>0</v>
      </c>
      <c r="Q2114" s="288"/>
      <c r="R2114" s="243" t="str">
        <f>IF(P2111&gt;0,"xy","")</f>
        <v/>
      </c>
      <c r="S2114" s="378" t="str">
        <f t="shared" si="599"/>
        <v/>
      </c>
    </row>
    <row r="2115" spans="2:19" hidden="1" x14ac:dyDescent="0.2">
      <c r="B2115" s="730" t="s">
        <v>168</v>
      </c>
      <c r="C2115" s="300"/>
      <c r="D2115" s="383" t="s">
        <v>349</v>
      </c>
      <c r="E2115" s="704"/>
      <c r="F2115" s="661">
        <v>20</v>
      </c>
      <c r="G2115" s="665">
        <v>2.15</v>
      </c>
      <c r="H2115" s="663">
        <f>IF(F2115&lt;=30,(1.05*F2115+2.18)*G2115,((1.05*30+2.18)+0.87*(F2115-30))*G2115)</f>
        <v>49.836999999999996</v>
      </c>
      <c r="I2115" s="380"/>
      <c r="J2115" s="631"/>
      <c r="K2115" s="593">
        <f t="shared" si="602"/>
        <v>0</v>
      </c>
      <c r="L2115" s="594"/>
      <c r="M2115" s="600"/>
      <c r="N2115" s="600">
        <v>0</v>
      </c>
      <c r="O2115" s="287">
        <f t="shared" si="572"/>
        <v>0</v>
      </c>
      <c r="P2115" s="287">
        <f t="shared" si="573"/>
        <v>0</v>
      </c>
      <c r="Q2115" s="288"/>
      <c r="R2115" s="311" t="str">
        <f>IF(P2111&gt;0,"xy","")</f>
        <v/>
      </c>
      <c r="S2115" s="378" t="str">
        <f t="shared" si="599"/>
        <v/>
      </c>
    </row>
    <row r="2116" spans="2:19" hidden="1" x14ac:dyDescent="0.2">
      <c r="B2116" s="708" t="s">
        <v>24</v>
      </c>
      <c r="C2116" s="596" t="s">
        <v>207</v>
      </c>
      <c r="D2116" s="383" t="s">
        <v>69</v>
      </c>
      <c r="E2116" s="704"/>
      <c r="F2116" s="661"/>
      <c r="G2116" s="665"/>
      <c r="H2116" s="664">
        <f>SUM(H2117:H2121)</f>
        <v>186.43527281599998</v>
      </c>
      <c r="I2116" s="380">
        <f>VLOOKUP(D2116,'ENSAIOS DE ORÇAMENTO'!$C$3:$L$79,8,FALSE)</f>
        <v>1362.4516159999998</v>
      </c>
      <c r="J2116" s="631">
        <f t="shared" ref="J2116" si="603">IF(ISBLANK(I2116),"",SUM(H2116:I2116))</f>
        <v>1548.8868888159998</v>
      </c>
      <c r="K2116" s="593">
        <f t="shared" si="602"/>
        <v>1963.21</v>
      </c>
      <c r="L2116" s="594" t="s">
        <v>21</v>
      </c>
      <c r="M2116" s="30"/>
      <c r="N2116" s="30">
        <v>1963.21</v>
      </c>
      <c r="O2116" s="287">
        <f t="shared" si="572"/>
        <v>0</v>
      </c>
      <c r="P2116" s="287">
        <f t="shared" si="573"/>
        <v>0</v>
      </c>
      <c r="Q2116" s="288"/>
      <c r="S2116" s="378" t="str">
        <f t="shared" si="599"/>
        <v/>
      </c>
    </row>
    <row r="2117" spans="2:19" hidden="1" x14ac:dyDescent="0.2">
      <c r="B2117" s="708" t="s">
        <v>168</v>
      </c>
      <c r="C2117" s="596"/>
      <c r="D2117" s="383" t="s">
        <v>213</v>
      </c>
      <c r="E2117" s="704"/>
      <c r="F2117" s="661">
        <v>500</v>
      </c>
      <c r="G2117" s="665">
        <f>VLOOKUP(D2116,'ENSAIOS DE ORÇAMENTO'!$C$3:$L$79,4,FALSE)</f>
        <v>0.11541040000000001</v>
      </c>
      <c r="H2117" s="664">
        <f>IF(F2117&lt;=30,(0.75*F2117+6.29)*G2117,((0.75*30+6.29)+0.62*(F2117-30))*G2117)</f>
        <v>36.953255976000001</v>
      </c>
      <c r="I2117" s="380"/>
      <c r="J2117" s="631"/>
      <c r="K2117" s="593">
        <f t="shared" si="602"/>
        <v>0</v>
      </c>
      <c r="L2117" s="594"/>
      <c r="M2117" s="600"/>
      <c r="N2117" s="600">
        <v>0</v>
      </c>
      <c r="O2117" s="287">
        <f t="shared" si="572"/>
        <v>0</v>
      </c>
      <c r="P2117" s="287">
        <f t="shared" si="573"/>
        <v>0</v>
      </c>
      <c r="Q2117" s="288"/>
      <c r="R2117" s="311" t="str">
        <f>IF(P2116&gt;0,"xy","")</f>
        <v/>
      </c>
      <c r="S2117" s="378" t="str">
        <f t="shared" si="599"/>
        <v/>
      </c>
    </row>
    <row r="2118" spans="2:19" hidden="1" x14ac:dyDescent="0.2">
      <c r="B2118" s="708" t="s">
        <v>168</v>
      </c>
      <c r="C2118" s="596"/>
      <c r="D2118" s="383" t="s">
        <v>249</v>
      </c>
      <c r="E2118" s="704"/>
      <c r="F2118" s="661">
        <v>180</v>
      </c>
      <c r="G2118" s="665">
        <f>VLOOKUP(D2116,'ENSAIOS DE ORÇAMENTO'!$C$3:$L$79,5,FALSE)</f>
        <v>0.62209000000000003</v>
      </c>
      <c r="H2118" s="663">
        <f t="shared" ref="H2118" si="604">IF(F2118&lt;=30,(1.05*F2118+2.18)*G2118,((1.05*30+2.18)+0.87*(F2118-30))*G2118)</f>
        <v>102.13473620000001</v>
      </c>
      <c r="I2118" s="380"/>
      <c r="J2118" s="631"/>
      <c r="K2118" s="593">
        <f t="shared" si="602"/>
        <v>0</v>
      </c>
      <c r="L2118" s="594"/>
      <c r="M2118" s="600"/>
      <c r="N2118" s="600">
        <v>0</v>
      </c>
      <c r="O2118" s="287">
        <f t="shared" si="572"/>
        <v>0</v>
      </c>
      <c r="P2118" s="287">
        <f t="shared" si="573"/>
        <v>0</v>
      </c>
      <c r="Q2118" s="288"/>
      <c r="R2118" s="311" t="str">
        <f>IF(P2116&gt;0,"xy","")</f>
        <v/>
      </c>
      <c r="S2118" s="378" t="str">
        <f t="shared" si="599"/>
        <v/>
      </c>
    </row>
    <row r="2119" spans="2:19" hidden="1" x14ac:dyDescent="0.2">
      <c r="B2119" s="708" t="s">
        <v>168</v>
      </c>
      <c r="C2119" s="596"/>
      <c r="D2119" s="383" t="s">
        <v>253</v>
      </c>
      <c r="E2119" s="704"/>
      <c r="F2119" s="661">
        <v>20</v>
      </c>
      <c r="G2119" s="665">
        <f>VLOOKUP(D2116,'ENSAIOS DE ORÇAMENTO'!$C$3:$L$79,6,FALSE)</f>
        <v>0.20424000000000003</v>
      </c>
      <c r="H2119" s="663">
        <f>IF(F2119&lt;=30,(1.05*F2119+2.18)*G2119,((1.05*30+2.18)+0.87*(F2119-30))*G2119)</f>
        <v>4.734283200000001</v>
      </c>
      <c r="I2119" s="380"/>
      <c r="J2119" s="631"/>
      <c r="K2119" s="593">
        <f t="shared" si="602"/>
        <v>0</v>
      </c>
      <c r="L2119" s="594"/>
      <c r="M2119" s="600"/>
      <c r="N2119" s="600">
        <v>0</v>
      </c>
      <c r="O2119" s="287">
        <f t="shared" si="572"/>
        <v>0</v>
      </c>
      <c r="P2119" s="287">
        <f t="shared" si="573"/>
        <v>0</v>
      </c>
      <c r="Q2119" s="288"/>
      <c r="R2119" s="243" t="str">
        <f>IF(P2116&gt;0,"xy","")</f>
        <v/>
      </c>
      <c r="S2119" s="378" t="str">
        <f t="shared" si="599"/>
        <v/>
      </c>
    </row>
    <row r="2120" spans="2:19" hidden="1" x14ac:dyDescent="0.2">
      <c r="B2120" s="708" t="s">
        <v>168</v>
      </c>
      <c r="C2120" s="596"/>
      <c r="D2120" s="383" t="s">
        <v>402</v>
      </c>
      <c r="E2120" s="704"/>
      <c r="F2120" s="661">
        <v>30</v>
      </c>
      <c r="G2120" s="665">
        <f>VLOOKUP(D2116,'ENSAIOS DE ORÇAMENTO'!$C$3:$L$79,3,FALSE)</f>
        <v>0.87983999999999996</v>
      </c>
      <c r="H2120" s="663">
        <f>IF(F2120&lt;=30,(1.05*F2120+2.18)*G2120,((1.05*30+2.18)+0.87*(F2120-30))*G2120)</f>
        <v>29.633011199999999</v>
      </c>
      <c r="I2120" s="380"/>
      <c r="J2120" s="631"/>
      <c r="K2120" s="593">
        <f t="shared" si="602"/>
        <v>0</v>
      </c>
      <c r="L2120" s="594"/>
      <c r="M2120" s="600"/>
      <c r="N2120" s="600">
        <v>0</v>
      </c>
      <c r="O2120" s="287">
        <f t="shared" si="572"/>
        <v>0</v>
      </c>
      <c r="P2120" s="287">
        <f t="shared" si="573"/>
        <v>0</v>
      </c>
      <c r="Q2120" s="288"/>
      <c r="R2120" s="311" t="str">
        <f>IF(P2116&gt;0,"xy","")</f>
        <v/>
      </c>
      <c r="S2120" s="378" t="str">
        <f t="shared" si="599"/>
        <v/>
      </c>
    </row>
    <row r="2121" spans="2:19" hidden="1" x14ac:dyDescent="0.2">
      <c r="B2121" s="708" t="s">
        <v>168</v>
      </c>
      <c r="C2121" s="596"/>
      <c r="D2121" s="383" t="s">
        <v>403</v>
      </c>
      <c r="E2121" s="704"/>
      <c r="F2121" s="661">
        <v>500</v>
      </c>
      <c r="G2121" s="665">
        <f>VLOOKUP(D2116,'ENSAIOS DE ORÇAMENTO'!$C$3:$L$79,10,FALSE)</f>
        <v>2.9328E-2</v>
      </c>
      <c r="H2121" s="663">
        <f>IF(F2121&lt;=30,(1.05*F2121+2.18)*G2121,((1.05*30+2.18)+0.87*(F2121-30))*G2121)</f>
        <v>12.979986239999999</v>
      </c>
      <c r="I2121" s="380"/>
      <c r="J2121" s="631"/>
      <c r="K2121" s="593">
        <f t="shared" si="602"/>
        <v>0</v>
      </c>
      <c r="L2121" s="594"/>
      <c r="M2121" s="600"/>
      <c r="N2121" s="600">
        <v>0</v>
      </c>
      <c r="O2121" s="287">
        <f t="shared" si="572"/>
        <v>0</v>
      </c>
      <c r="P2121" s="287">
        <f t="shared" si="573"/>
        <v>0</v>
      </c>
      <c r="Q2121" s="288"/>
      <c r="R2121" s="311" t="str">
        <f>IF(P2116&gt;0,"xy","")</f>
        <v/>
      </c>
      <c r="S2121" s="378" t="str">
        <f t="shared" si="599"/>
        <v/>
      </c>
    </row>
    <row r="2122" spans="2:19" x14ac:dyDescent="0.2">
      <c r="B2122" s="771" t="s">
        <v>25</v>
      </c>
      <c r="C2122" s="596" t="s">
        <v>207</v>
      </c>
      <c r="D2122" s="383" t="s">
        <v>70</v>
      </c>
      <c r="E2122" s="704"/>
      <c r="F2122" s="661"/>
      <c r="G2122" s="665"/>
      <c r="H2122" s="664">
        <f>SUM(H2123:H2127)</f>
        <v>54.17296704000001</v>
      </c>
      <c r="I2122" s="380">
        <f>VLOOKUP(D2122,'ENSAIOS DE ORÇAMENTO'!$C$3:$L$79,8,FALSE)</f>
        <v>1503.6620800000001</v>
      </c>
      <c r="J2122" s="631">
        <f t="shared" ref="J2122" si="605">IF(ISBLANK(I2122),"",SUM(H2122:I2122))</f>
        <v>1557.8350470400001</v>
      </c>
      <c r="K2122" s="593">
        <f t="shared" si="602"/>
        <v>1974.56</v>
      </c>
      <c r="L2122" s="594" t="s">
        <v>21</v>
      </c>
      <c r="M2122" s="30">
        <v>10</v>
      </c>
      <c r="N2122" s="30">
        <v>1974.56</v>
      </c>
      <c r="O2122" s="287">
        <f t="shared" si="572"/>
        <v>19745.599999999999</v>
      </c>
      <c r="P2122" s="287">
        <f t="shared" si="573"/>
        <v>19745.599999999999</v>
      </c>
      <c r="Q2122" s="288"/>
      <c r="S2122" s="378" t="str">
        <f t="shared" si="599"/>
        <v>x</v>
      </c>
    </row>
    <row r="2123" spans="2:19" x14ac:dyDescent="0.2">
      <c r="B2123" s="771" t="s">
        <v>168</v>
      </c>
      <c r="C2123" s="596"/>
      <c r="D2123" s="383" t="s">
        <v>213</v>
      </c>
      <c r="E2123" s="704"/>
      <c r="F2123" s="661">
        <v>7.77</v>
      </c>
      <c r="G2123" s="665">
        <f>VLOOKUP(D2122,'ENSAIOS DE ORÇAMENTO'!$C$3:$L$79,4,FALSE)</f>
        <v>0.132608</v>
      </c>
      <c r="H2123" s="664">
        <f>IF(F2123&lt;=30,(0.75*F2123+6.29)*G2123,((0.75*30+6.29)+0.62*(F2123-30))*G2123)</f>
        <v>1.6068774400000001</v>
      </c>
      <c r="I2123" s="380"/>
      <c r="J2123" s="631"/>
      <c r="K2123" s="593">
        <f t="shared" si="602"/>
        <v>0</v>
      </c>
      <c r="L2123" s="594"/>
      <c r="M2123" s="600"/>
      <c r="N2123" s="600">
        <v>0</v>
      </c>
      <c r="O2123" s="287">
        <f t="shared" si="572"/>
        <v>0</v>
      </c>
      <c r="P2123" s="287">
        <f t="shared" si="573"/>
        <v>0</v>
      </c>
      <c r="Q2123" s="288"/>
      <c r="R2123" s="311" t="str">
        <f>IF(P2122&gt;0,"xy","")</f>
        <v>xy</v>
      </c>
      <c r="S2123" s="378" t="str">
        <f t="shared" si="599"/>
        <v>x</v>
      </c>
    </row>
    <row r="2124" spans="2:19" x14ac:dyDescent="0.2">
      <c r="B2124" s="771" t="s">
        <v>168</v>
      </c>
      <c r="C2124" s="596"/>
      <c r="D2124" s="383" t="s">
        <v>249</v>
      </c>
      <c r="E2124" s="704"/>
      <c r="F2124" s="661">
        <v>23.8</v>
      </c>
      <c r="G2124" s="665">
        <f>VLOOKUP(D2122,'ENSAIOS DE ORÇAMENTO'!$C$3:$L$79,5,FALSE)</f>
        <v>0.73198000000000008</v>
      </c>
      <c r="H2124" s="663">
        <f t="shared" ref="H2124" si="606">IF(F2124&lt;=30,(1.05*F2124+2.18)*G2124,((1.05*30+2.18)+0.87*(F2124-30))*G2124)</f>
        <v>19.887896600000005</v>
      </c>
      <c r="I2124" s="380"/>
      <c r="J2124" s="631"/>
      <c r="K2124" s="593">
        <f t="shared" si="602"/>
        <v>0</v>
      </c>
      <c r="L2124" s="594"/>
      <c r="M2124" s="600"/>
      <c r="N2124" s="600">
        <v>0</v>
      </c>
      <c r="O2124" s="287">
        <f t="shared" si="572"/>
        <v>0</v>
      </c>
      <c r="P2124" s="287">
        <f t="shared" si="573"/>
        <v>0</v>
      </c>
      <c r="Q2124" s="288"/>
      <c r="R2124" s="311" t="str">
        <f>IF(P2122&gt;0,"xy","")</f>
        <v>xy</v>
      </c>
      <c r="S2124" s="378" t="str">
        <f t="shared" si="599"/>
        <v>x</v>
      </c>
    </row>
    <row r="2125" spans="2:19" x14ac:dyDescent="0.2">
      <c r="B2125" s="771" t="s">
        <v>168</v>
      </c>
      <c r="C2125" s="596"/>
      <c r="D2125" s="383" t="s">
        <v>253</v>
      </c>
      <c r="E2125" s="704"/>
      <c r="F2125" s="661">
        <v>19.100000000000001</v>
      </c>
      <c r="G2125" s="665">
        <f>VLOOKUP(D2122,'ENSAIOS DE ORÇAMENTO'!$C$3:$L$79,6,FALSE)</f>
        <v>0.20424000000000003</v>
      </c>
      <c r="H2125" s="663">
        <f>IF(F2125&lt;=30,(1.05*F2125+2.18)*G2125,((1.05*30+2.18)+0.87*(F2125-30))*G2125)</f>
        <v>4.541276400000001</v>
      </c>
      <c r="I2125" s="380"/>
      <c r="J2125" s="631"/>
      <c r="K2125" s="593">
        <f t="shared" si="602"/>
        <v>0</v>
      </c>
      <c r="L2125" s="594"/>
      <c r="M2125" s="600"/>
      <c r="N2125" s="600">
        <v>0</v>
      </c>
      <c r="O2125" s="287">
        <f t="shared" si="572"/>
        <v>0</v>
      </c>
      <c r="P2125" s="287">
        <f t="shared" si="573"/>
        <v>0</v>
      </c>
      <c r="Q2125" s="288"/>
      <c r="R2125" s="243" t="str">
        <f>IF(P2122&gt;0,"xy","")</f>
        <v>xy</v>
      </c>
      <c r="S2125" s="378" t="str">
        <f t="shared" si="599"/>
        <v>x</v>
      </c>
    </row>
    <row r="2126" spans="2:19" x14ac:dyDescent="0.2">
      <c r="B2126" s="771" t="s">
        <v>168</v>
      </c>
      <c r="C2126" s="596"/>
      <c r="D2126" s="383" t="s">
        <v>402</v>
      </c>
      <c r="E2126" s="704"/>
      <c r="F2126" s="661">
        <v>21.3</v>
      </c>
      <c r="G2126" s="665">
        <f>VLOOKUP(D2122,'ENSAIOS DE ORÇAMENTO'!$C$3:$L$79,3,FALSE)</f>
        <v>1.0998000000000001</v>
      </c>
      <c r="H2126" s="663">
        <f>IF(F2126&lt;=30,(1.05*F2126+2.18)*G2126,((1.05*30+2.18)+0.87*(F2126-30))*G2126)</f>
        <v>26.994591000000003</v>
      </c>
      <c r="I2126" s="380"/>
      <c r="J2126" s="631"/>
      <c r="K2126" s="593">
        <f t="shared" si="602"/>
        <v>0</v>
      </c>
      <c r="L2126" s="594"/>
      <c r="M2126" s="600"/>
      <c r="N2126" s="600">
        <v>0</v>
      </c>
      <c r="O2126" s="287">
        <f t="shared" si="572"/>
        <v>0</v>
      </c>
      <c r="P2126" s="287">
        <f t="shared" si="573"/>
        <v>0</v>
      </c>
      <c r="Q2126" s="288"/>
      <c r="R2126" s="311" t="str">
        <f>IF(P2122&gt;0,"xy","")</f>
        <v>xy</v>
      </c>
      <c r="S2126" s="378" t="str">
        <f t="shared" si="599"/>
        <v>x</v>
      </c>
    </row>
    <row r="2127" spans="2:19" x14ac:dyDescent="0.2">
      <c r="B2127" s="771" t="s">
        <v>168</v>
      </c>
      <c r="C2127" s="596"/>
      <c r="D2127" s="383" t="s">
        <v>403</v>
      </c>
      <c r="E2127" s="704"/>
      <c r="F2127" s="661">
        <v>27.6</v>
      </c>
      <c r="G2127" s="665">
        <f>VLOOKUP(D2122,'ENSAIOS DE ORÇAMENTO'!$C$3:$L$79,10,FALSE)</f>
        <v>3.6659999999999998E-2</v>
      </c>
      <c r="H2127" s="663">
        <f>IF(F2127&lt;=30,(1.05*F2127+2.18)*G2127,((1.05*30+2.18)+0.87*(F2127-30))*G2127)</f>
        <v>1.1423256000000002</v>
      </c>
      <c r="I2127" s="380"/>
      <c r="J2127" s="631"/>
      <c r="K2127" s="593">
        <f t="shared" si="602"/>
        <v>0</v>
      </c>
      <c r="L2127" s="594"/>
      <c r="M2127" s="600"/>
      <c r="N2127" s="600">
        <v>0</v>
      </c>
      <c r="O2127" s="287">
        <f t="shared" si="572"/>
        <v>0</v>
      </c>
      <c r="P2127" s="287">
        <f t="shared" si="573"/>
        <v>0</v>
      </c>
      <c r="Q2127" s="288"/>
      <c r="R2127" s="311" t="str">
        <f>IF(P2122&gt;0,"xy","")</f>
        <v>xy</v>
      </c>
      <c r="S2127" s="378" t="str">
        <f t="shared" si="599"/>
        <v>x</v>
      </c>
    </row>
    <row r="2128" spans="2:19" hidden="1" x14ac:dyDescent="0.2">
      <c r="B2128" s="771" t="s">
        <v>26</v>
      </c>
      <c r="C2128" s="596" t="s">
        <v>207</v>
      </c>
      <c r="D2128" s="383" t="s">
        <v>71</v>
      </c>
      <c r="E2128" s="704"/>
      <c r="F2128" s="661"/>
      <c r="G2128" s="665"/>
      <c r="H2128" s="664">
        <f>SUM(H2129:H2133)</f>
        <v>277.22981456600002</v>
      </c>
      <c r="I2128" s="380">
        <f>VLOOKUP(D2128,'ENSAIOS DE ORÇAMENTO'!$C$3:$L$79,8,FALSE)</f>
        <v>1737.2331959999999</v>
      </c>
      <c r="J2128" s="631">
        <f t="shared" ref="J2128" si="607">IF(ISBLANK(I2128),"",SUM(H2128:I2128))</f>
        <v>2014.4630105659999</v>
      </c>
      <c r="K2128" s="593">
        <f t="shared" si="602"/>
        <v>2553.33</v>
      </c>
      <c r="L2128" s="594" t="s">
        <v>21</v>
      </c>
      <c r="M2128" s="30"/>
      <c r="N2128" s="30">
        <v>2553.33</v>
      </c>
      <c r="O2128" s="287">
        <f t="shared" si="572"/>
        <v>0</v>
      </c>
      <c r="P2128" s="287">
        <f t="shared" si="573"/>
        <v>0</v>
      </c>
      <c r="Q2128" s="288"/>
      <c r="S2128" s="378" t="str">
        <f t="shared" si="599"/>
        <v/>
      </c>
    </row>
    <row r="2129" spans="2:19" hidden="1" x14ac:dyDescent="0.2">
      <c r="B2129" s="771" t="s">
        <v>168</v>
      </c>
      <c r="C2129" s="596"/>
      <c r="D2129" s="383" t="s">
        <v>213</v>
      </c>
      <c r="E2129" s="704"/>
      <c r="F2129" s="661">
        <v>500</v>
      </c>
      <c r="G2129" s="665">
        <f>VLOOKUP(D2128,'ENSAIOS DE ORÇAMENTO'!$C$3:$L$79,4,FALSE)</f>
        <v>0.1610819</v>
      </c>
      <c r="H2129" s="664">
        <f>IF(F2129&lt;=30,(0.75*F2129+6.29)*G2129,((0.75*30+6.29)+0.62*(F2129-30))*G2129)</f>
        <v>51.576813561000002</v>
      </c>
      <c r="I2129" s="380"/>
      <c r="J2129" s="631"/>
      <c r="K2129" s="593">
        <f t="shared" si="602"/>
        <v>0</v>
      </c>
      <c r="L2129" s="594"/>
      <c r="M2129" s="600"/>
      <c r="N2129" s="600">
        <v>0</v>
      </c>
      <c r="O2129" s="287">
        <f t="shared" si="572"/>
        <v>0</v>
      </c>
      <c r="P2129" s="287">
        <f t="shared" si="573"/>
        <v>0</v>
      </c>
      <c r="Q2129" s="288"/>
      <c r="R2129" s="311" t="str">
        <f>IF(P2128&gt;0,"xy","")</f>
        <v/>
      </c>
      <c r="S2129" s="378" t="str">
        <f t="shared" si="599"/>
        <v/>
      </c>
    </row>
    <row r="2130" spans="2:19" hidden="1" x14ac:dyDescent="0.2">
      <c r="B2130" s="771" t="s">
        <v>168</v>
      </c>
      <c r="C2130" s="596"/>
      <c r="D2130" s="383" t="s">
        <v>249</v>
      </c>
      <c r="E2130" s="704"/>
      <c r="F2130" s="661">
        <v>180</v>
      </c>
      <c r="G2130" s="665">
        <f>VLOOKUP(D2128,'ENSAIOS DE ORÇAMENTO'!$C$3:$L$79,5,FALSE)</f>
        <v>0.91383625000000013</v>
      </c>
      <c r="H2130" s="663">
        <f t="shared" ref="H2130" si="608">IF(F2130&lt;=30,(1.05*F2130+2.18)*G2130,((1.05*30+2.18)+0.87*(F2130-30))*G2130)</f>
        <v>150.03363552500002</v>
      </c>
      <c r="I2130" s="380"/>
      <c r="J2130" s="631"/>
      <c r="K2130" s="593">
        <f t="shared" si="602"/>
        <v>0</v>
      </c>
      <c r="L2130" s="594"/>
      <c r="M2130" s="600"/>
      <c r="N2130" s="600">
        <v>0</v>
      </c>
      <c r="O2130" s="287">
        <f t="shared" si="572"/>
        <v>0</v>
      </c>
      <c r="P2130" s="287">
        <f t="shared" si="573"/>
        <v>0</v>
      </c>
      <c r="Q2130" s="288"/>
      <c r="R2130" s="311" t="str">
        <f>IF(P2128&gt;0,"xy","")</f>
        <v/>
      </c>
      <c r="S2130" s="378" t="str">
        <f t="shared" si="599"/>
        <v/>
      </c>
    </row>
    <row r="2131" spans="2:19" hidden="1" x14ac:dyDescent="0.2">
      <c r="B2131" s="771" t="s">
        <v>168</v>
      </c>
      <c r="C2131" s="596"/>
      <c r="D2131" s="383" t="s">
        <v>253</v>
      </c>
      <c r="E2131" s="704"/>
      <c r="F2131" s="661">
        <v>20</v>
      </c>
      <c r="G2131" s="665">
        <f>VLOOKUP(D2128,'ENSAIOS DE ORÇAMENTO'!$C$3:$L$79,6,FALSE)</f>
        <v>0.20424000000000003</v>
      </c>
      <c r="H2131" s="663">
        <f>IF(F2131&lt;=30,(1.05*F2131+2.18)*G2131,((1.05*30+2.18)+0.87*(F2131-30))*G2131)</f>
        <v>4.734283200000001</v>
      </c>
      <c r="I2131" s="380"/>
      <c r="J2131" s="631"/>
      <c r="K2131" s="593">
        <f t="shared" si="602"/>
        <v>0</v>
      </c>
      <c r="L2131" s="594"/>
      <c r="M2131" s="600"/>
      <c r="N2131" s="600">
        <v>0</v>
      </c>
      <c r="O2131" s="287">
        <f t="shared" si="572"/>
        <v>0</v>
      </c>
      <c r="P2131" s="287">
        <f t="shared" si="573"/>
        <v>0</v>
      </c>
      <c r="Q2131" s="288"/>
      <c r="R2131" s="243" t="str">
        <f>IF(P2128&gt;0,"xy","")</f>
        <v/>
      </c>
      <c r="S2131" s="378" t="str">
        <f t="shared" si="599"/>
        <v/>
      </c>
    </row>
    <row r="2132" spans="2:19" hidden="1" x14ac:dyDescent="0.2">
      <c r="B2132" s="771" t="s">
        <v>168</v>
      </c>
      <c r="C2132" s="596"/>
      <c r="D2132" s="383" t="s">
        <v>402</v>
      </c>
      <c r="E2132" s="704"/>
      <c r="F2132" s="661">
        <v>30</v>
      </c>
      <c r="G2132" s="665">
        <f>VLOOKUP(D2128,'ENSAIOS DE ORÇAMENTO'!$C$3:$L$79,3,FALSE)</f>
        <v>1.4635799999999999</v>
      </c>
      <c r="H2132" s="663">
        <f>IF(F2132&lt;=30,(1.05*F2132+2.18)*G2132,((1.05*30+2.18)+0.87*(F2132-30))*G2132)</f>
        <v>49.293374399999998</v>
      </c>
      <c r="I2132" s="380"/>
      <c r="J2132" s="631"/>
      <c r="K2132" s="593">
        <f t="shared" si="602"/>
        <v>0</v>
      </c>
      <c r="L2132" s="594"/>
      <c r="M2132" s="600"/>
      <c r="N2132" s="600">
        <v>0</v>
      </c>
      <c r="O2132" s="287">
        <f t="shared" si="572"/>
        <v>0</v>
      </c>
      <c r="P2132" s="287">
        <f t="shared" si="573"/>
        <v>0</v>
      </c>
      <c r="Q2132" s="288"/>
      <c r="R2132" s="311" t="str">
        <f>IF(P2128&gt;0,"xy","")</f>
        <v/>
      </c>
      <c r="S2132" s="378" t="str">
        <f t="shared" si="599"/>
        <v/>
      </c>
    </row>
    <row r="2133" spans="2:19" hidden="1" x14ac:dyDescent="0.2">
      <c r="B2133" s="771" t="s">
        <v>168</v>
      </c>
      <c r="C2133" s="596"/>
      <c r="D2133" s="383" t="s">
        <v>403</v>
      </c>
      <c r="E2133" s="704"/>
      <c r="F2133" s="661">
        <v>500</v>
      </c>
      <c r="G2133" s="665">
        <f>VLOOKUP(D2128,'ENSAIOS DE ORÇAMENTO'!$C$3:$L$79,10,FALSE)</f>
        <v>4.8785999999999996E-2</v>
      </c>
      <c r="H2133" s="663">
        <f>IF(F2133&lt;=30,(1.05*F2133+2.18)*G2133,((1.05*30+2.18)+0.87*(F2133-30))*G2133)</f>
        <v>21.591707879999998</v>
      </c>
      <c r="I2133" s="380"/>
      <c r="J2133" s="631"/>
      <c r="K2133" s="593">
        <f t="shared" si="602"/>
        <v>0</v>
      </c>
      <c r="L2133" s="594"/>
      <c r="M2133" s="600"/>
      <c r="N2133" s="600">
        <v>0</v>
      </c>
      <c r="O2133" s="287">
        <f t="shared" si="572"/>
        <v>0</v>
      </c>
      <c r="P2133" s="287">
        <f t="shared" si="573"/>
        <v>0</v>
      </c>
      <c r="Q2133" s="288"/>
      <c r="R2133" s="311" t="str">
        <f>IF(P2128&gt;0,"xy","")</f>
        <v/>
      </c>
      <c r="S2133" s="378" t="str">
        <f t="shared" si="599"/>
        <v/>
      </c>
    </row>
    <row r="2134" spans="2:19" hidden="1" x14ac:dyDescent="0.2">
      <c r="B2134" s="771" t="s">
        <v>27</v>
      </c>
      <c r="C2134" s="596" t="s">
        <v>207</v>
      </c>
      <c r="D2134" s="383" t="s">
        <v>72</v>
      </c>
      <c r="E2134" s="704"/>
      <c r="F2134" s="661"/>
      <c r="G2134" s="665"/>
      <c r="H2134" s="664">
        <f>SUM(H2135:H2139)</f>
        <v>335.05115479400001</v>
      </c>
      <c r="I2134" s="380">
        <f>VLOOKUP(D2134,'ENSAIOS DE ORÇAMENTO'!$C$3:$L$79,8,FALSE)</f>
        <v>1976.1432839999998</v>
      </c>
      <c r="J2134" s="631">
        <f t="shared" ref="J2134" si="609">IF(ISBLANK(I2134),"",SUM(H2134:I2134))</f>
        <v>2311.1944387939998</v>
      </c>
      <c r="K2134" s="593">
        <f t="shared" si="602"/>
        <v>2929.44</v>
      </c>
      <c r="L2134" s="594" t="s">
        <v>21</v>
      </c>
      <c r="M2134" s="30"/>
      <c r="N2134" s="30">
        <v>2929.44</v>
      </c>
      <c r="O2134" s="287">
        <f t="shared" si="572"/>
        <v>0</v>
      </c>
      <c r="P2134" s="287">
        <f t="shared" si="573"/>
        <v>0</v>
      </c>
      <c r="Q2134" s="288"/>
      <c r="S2134" s="378" t="str">
        <f t="shared" si="599"/>
        <v/>
      </c>
    </row>
    <row r="2135" spans="2:19" hidden="1" x14ac:dyDescent="0.2">
      <c r="B2135" s="771" t="s">
        <v>168</v>
      </c>
      <c r="C2135" s="596"/>
      <c r="D2135" s="383" t="s">
        <v>213</v>
      </c>
      <c r="E2135" s="704"/>
      <c r="F2135" s="661">
        <v>500</v>
      </c>
      <c r="G2135" s="665">
        <f>VLOOKUP(D2134,'ENSAIOS DE ORÇAMENTO'!$C$3:$L$79,4,FALSE)</f>
        <v>0.19012209999999999</v>
      </c>
      <c r="H2135" s="664">
        <f>IF(F2135&lt;=30,(0.75*F2135+6.29)*G2135,((0.75*30+6.29)+0.62*(F2135-30))*G2135)</f>
        <v>60.875195198999997</v>
      </c>
      <c r="I2135" s="380"/>
      <c r="J2135" s="631"/>
      <c r="K2135" s="593">
        <f t="shared" si="602"/>
        <v>0</v>
      </c>
      <c r="L2135" s="594"/>
      <c r="M2135" s="600"/>
      <c r="N2135" s="600">
        <v>0</v>
      </c>
      <c r="O2135" s="287">
        <f t="shared" si="572"/>
        <v>0</v>
      </c>
      <c r="P2135" s="287">
        <f t="shared" si="573"/>
        <v>0</v>
      </c>
      <c r="Q2135" s="288"/>
      <c r="R2135" s="311" t="str">
        <f>IF(P2134&gt;0,"xy","")</f>
        <v/>
      </c>
      <c r="S2135" s="378" t="str">
        <f t="shared" si="599"/>
        <v/>
      </c>
    </row>
    <row r="2136" spans="2:19" hidden="1" x14ac:dyDescent="0.2">
      <c r="B2136" s="771" t="s">
        <v>168</v>
      </c>
      <c r="C2136" s="596"/>
      <c r="D2136" s="383" t="s">
        <v>249</v>
      </c>
      <c r="E2136" s="704"/>
      <c r="F2136" s="661">
        <v>180</v>
      </c>
      <c r="G2136" s="665">
        <f>VLOOKUP(D2134,'ENSAIOS DE ORÇAMENTO'!$C$3:$L$79,5,FALSE)</f>
        <v>1.09957375</v>
      </c>
      <c r="H2136" s="663">
        <f t="shared" ref="H2136" si="610">IF(F2136&lt;=30,(1.05*F2136+2.18)*G2136,((1.05*30+2.18)+0.87*(F2136-30))*G2136)</f>
        <v>180.52801827500002</v>
      </c>
      <c r="I2136" s="380"/>
      <c r="J2136" s="631"/>
      <c r="K2136" s="593">
        <f t="shared" si="602"/>
        <v>0</v>
      </c>
      <c r="L2136" s="594"/>
      <c r="M2136" s="600"/>
      <c r="N2136" s="600">
        <v>0</v>
      </c>
      <c r="O2136" s="287">
        <f t="shared" si="572"/>
        <v>0</v>
      </c>
      <c r="P2136" s="287">
        <f t="shared" si="573"/>
        <v>0</v>
      </c>
      <c r="Q2136" s="288"/>
      <c r="R2136" s="311" t="str">
        <f>IF(P2134&gt;0,"xy","")</f>
        <v/>
      </c>
      <c r="S2136" s="378" t="str">
        <f t="shared" si="599"/>
        <v/>
      </c>
    </row>
    <row r="2137" spans="2:19" hidden="1" x14ac:dyDescent="0.2">
      <c r="B2137" s="771" t="s">
        <v>168</v>
      </c>
      <c r="C2137" s="596"/>
      <c r="D2137" s="383" t="s">
        <v>253</v>
      </c>
      <c r="E2137" s="704"/>
      <c r="F2137" s="661">
        <v>20</v>
      </c>
      <c r="G2137" s="665">
        <f>VLOOKUP(D2134,'ENSAIOS DE ORÇAMENTO'!$C$3:$L$79,6,FALSE)</f>
        <v>0.20424000000000003</v>
      </c>
      <c r="H2137" s="663">
        <f>IF(F2137&lt;=30,(1.05*F2137+2.18)*G2137,((1.05*30+2.18)+0.87*(F2137-30))*G2137)</f>
        <v>4.734283200000001</v>
      </c>
      <c r="I2137" s="380"/>
      <c r="J2137" s="631"/>
      <c r="K2137" s="593">
        <f t="shared" si="602"/>
        <v>0</v>
      </c>
      <c r="L2137" s="594"/>
      <c r="M2137" s="600"/>
      <c r="N2137" s="600">
        <v>0</v>
      </c>
      <c r="O2137" s="287">
        <f t="shared" si="572"/>
        <v>0</v>
      </c>
      <c r="P2137" s="287">
        <f t="shared" si="573"/>
        <v>0</v>
      </c>
      <c r="Q2137" s="288"/>
      <c r="R2137" s="243" t="str">
        <f>IF(P2134&gt;0,"xy","")</f>
        <v/>
      </c>
      <c r="S2137" s="378" t="str">
        <f t="shared" si="599"/>
        <v/>
      </c>
    </row>
    <row r="2138" spans="2:19" hidden="1" x14ac:dyDescent="0.2">
      <c r="B2138" s="771" t="s">
        <v>168</v>
      </c>
      <c r="C2138" s="596"/>
      <c r="D2138" s="383" t="s">
        <v>402</v>
      </c>
      <c r="E2138" s="704"/>
      <c r="F2138" s="661">
        <v>30</v>
      </c>
      <c r="G2138" s="665">
        <f>VLOOKUP(D2134,'ENSAIOS DE ORÇAMENTO'!$C$3:$L$79,3,FALSE)</f>
        <v>1.8358199999999998</v>
      </c>
      <c r="H2138" s="663">
        <f>IF(F2138&lt;=30,(1.05*F2138+2.18)*G2138,((1.05*30+2.18)+0.87*(F2138-30))*G2138)</f>
        <v>61.83041759999999</v>
      </c>
      <c r="I2138" s="380"/>
      <c r="J2138" s="631"/>
      <c r="K2138" s="593">
        <f t="shared" si="602"/>
        <v>0</v>
      </c>
      <c r="L2138" s="594"/>
      <c r="M2138" s="600"/>
      <c r="N2138" s="600">
        <v>0</v>
      </c>
      <c r="O2138" s="287">
        <f t="shared" si="572"/>
        <v>0</v>
      </c>
      <c r="P2138" s="287">
        <f t="shared" si="573"/>
        <v>0</v>
      </c>
      <c r="Q2138" s="288"/>
      <c r="R2138" s="311" t="str">
        <f>IF(P2134&gt;0,"xy","")</f>
        <v/>
      </c>
      <c r="S2138" s="378" t="str">
        <f t="shared" si="599"/>
        <v/>
      </c>
    </row>
    <row r="2139" spans="2:19" hidden="1" x14ac:dyDescent="0.2">
      <c r="B2139" s="771" t="s">
        <v>168</v>
      </c>
      <c r="C2139" s="596"/>
      <c r="D2139" s="383" t="s">
        <v>403</v>
      </c>
      <c r="E2139" s="704"/>
      <c r="F2139" s="661">
        <v>500</v>
      </c>
      <c r="G2139" s="665">
        <f>VLOOKUP(D2134,'ENSAIOS DE ORÇAMENTO'!$C$3:$L$79,10,FALSE)</f>
        <v>6.1193999999999998E-2</v>
      </c>
      <c r="H2139" s="663">
        <f>IF(F2139&lt;=30,(1.05*F2139+2.18)*G2139,((1.05*30+2.18)+0.87*(F2139-30))*G2139)</f>
        <v>27.083240519999997</v>
      </c>
      <c r="I2139" s="380"/>
      <c r="J2139" s="631"/>
      <c r="K2139" s="593">
        <f t="shared" si="602"/>
        <v>0</v>
      </c>
      <c r="L2139" s="594"/>
      <c r="M2139" s="600"/>
      <c r="N2139" s="600">
        <v>0</v>
      </c>
      <c r="O2139" s="287">
        <f t="shared" si="572"/>
        <v>0</v>
      </c>
      <c r="P2139" s="287">
        <f t="shared" si="573"/>
        <v>0</v>
      </c>
      <c r="Q2139" s="288"/>
      <c r="R2139" s="311" t="str">
        <f>IF(P2134&gt;0,"xy","")</f>
        <v/>
      </c>
      <c r="S2139" s="378" t="str">
        <f t="shared" si="599"/>
        <v/>
      </c>
    </row>
    <row r="2140" spans="2:19" hidden="1" x14ac:dyDescent="0.2">
      <c r="B2140" s="771" t="s">
        <v>113</v>
      </c>
      <c r="C2140" s="596" t="s">
        <v>207</v>
      </c>
      <c r="D2140" s="383" t="s">
        <v>404</v>
      </c>
      <c r="E2140" s="704"/>
      <c r="F2140" s="661"/>
      <c r="G2140" s="665"/>
      <c r="H2140" s="664">
        <f>SUM(H2141:H2145)</f>
        <v>382.08106760000004</v>
      </c>
      <c r="I2140" s="380">
        <f>VLOOKUP(D2140,'ENSAIOS DE ORÇAMENTO'!$C$3:$L$79,8,FALSE)</f>
        <v>1121.53963</v>
      </c>
      <c r="J2140" s="631">
        <f t="shared" ref="J2140" si="611">IF(ISBLANK(I2140),"",SUM(H2140:I2140))</f>
        <v>1503.6206976000001</v>
      </c>
      <c r="K2140" s="593">
        <f t="shared" si="602"/>
        <v>1905.84</v>
      </c>
      <c r="L2140" s="594" t="s">
        <v>21</v>
      </c>
      <c r="M2140" s="30"/>
      <c r="N2140" s="30">
        <v>1905.84</v>
      </c>
      <c r="O2140" s="287">
        <f t="shared" si="572"/>
        <v>0</v>
      </c>
      <c r="P2140" s="287">
        <f t="shared" si="573"/>
        <v>0</v>
      </c>
      <c r="Q2140" s="288"/>
      <c r="S2140" s="378" t="str">
        <f t="shared" si="599"/>
        <v/>
      </c>
    </row>
    <row r="2141" spans="2:19" hidden="1" x14ac:dyDescent="0.2">
      <c r="B2141" s="771" t="s">
        <v>168</v>
      </c>
      <c r="C2141" s="596"/>
      <c r="D2141" s="383" t="s">
        <v>213</v>
      </c>
      <c r="E2141" s="704"/>
      <c r="F2141" s="661">
        <v>500</v>
      </c>
      <c r="G2141" s="665">
        <f>VLOOKUP(D2140,'ENSAIOS DE ORÇAMENTO'!$C$3:$L$79,4,FALSE)</f>
        <v>0.43266000000000004</v>
      </c>
      <c r="H2141" s="664">
        <f>IF(F2141&lt;=30,(0.75*F2141+6.29)*G2141,((0.75*30+6.29)+0.62*(F2141-30))*G2141)</f>
        <v>138.53340540000002</v>
      </c>
      <c r="I2141" s="380"/>
      <c r="J2141" s="631"/>
      <c r="K2141" s="593">
        <f t="shared" si="602"/>
        <v>0</v>
      </c>
      <c r="L2141" s="594"/>
      <c r="M2141" s="600"/>
      <c r="N2141" s="600">
        <v>0</v>
      </c>
      <c r="O2141" s="287">
        <f t="shared" si="572"/>
        <v>0</v>
      </c>
      <c r="P2141" s="287">
        <f t="shared" si="573"/>
        <v>0</v>
      </c>
      <c r="Q2141" s="288"/>
      <c r="R2141" s="311" t="str">
        <f>IF(P2140&gt;0,"xy","")</f>
        <v/>
      </c>
      <c r="S2141" s="378" t="str">
        <f t="shared" si="599"/>
        <v/>
      </c>
    </row>
    <row r="2142" spans="2:19" hidden="1" x14ac:dyDescent="0.2">
      <c r="B2142" s="771" t="s">
        <v>168</v>
      </c>
      <c r="C2142" s="596"/>
      <c r="D2142" s="383" t="s">
        <v>249</v>
      </c>
      <c r="E2142" s="704"/>
      <c r="F2142" s="661">
        <v>180</v>
      </c>
      <c r="G2142" s="665">
        <f>VLOOKUP(D2140,'ENSAIOS DE ORÇAMENTO'!$C$3:$L$79,5,FALSE)</f>
        <v>1.26997</v>
      </c>
      <c r="H2142" s="663">
        <f t="shared" ref="H2142" si="612">IF(F2142&lt;=30,(1.05*F2142+2.18)*G2142,((1.05*30+2.18)+0.87*(F2142-30))*G2142)</f>
        <v>208.50367460000001</v>
      </c>
      <c r="I2142" s="380"/>
      <c r="J2142" s="631"/>
      <c r="K2142" s="593">
        <f t="shared" si="602"/>
        <v>0</v>
      </c>
      <c r="L2142" s="594"/>
      <c r="M2142" s="600"/>
      <c r="N2142" s="600">
        <v>0</v>
      </c>
      <c r="O2142" s="287">
        <f t="shared" si="572"/>
        <v>0</v>
      </c>
      <c r="P2142" s="287">
        <f t="shared" si="573"/>
        <v>0</v>
      </c>
      <c r="Q2142" s="288"/>
      <c r="R2142" s="311" t="str">
        <f>IF(P2140&gt;0,"xy","")</f>
        <v/>
      </c>
      <c r="S2142" s="378" t="str">
        <f t="shared" si="599"/>
        <v/>
      </c>
    </row>
    <row r="2143" spans="2:19" hidden="1" x14ac:dyDescent="0.2">
      <c r="B2143" s="771" t="s">
        <v>168</v>
      </c>
      <c r="C2143" s="596"/>
      <c r="D2143" s="383" t="s">
        <v>253</v>
      </c>
      <c r="E2143" s="704"/>
      <c r="F2143" s="661">
        <v>20</v>
      </c>
      <c r="G2143" s="665">
        <f>VLOOKUP(D2140,'ENSAIOS DE ORÇAMENTO'!$C$3:$L$79,6,FALSE)</f>
        <v>1.5118200000000002</v>
      </c>
      <c r="H2143" s="663">
        <f>IF(F2143&lt;=30,(1.05*F2143+2.18)*G2143,((1.05*30+2.18)+0.87*(F2143-30))*G2143)</f>
        <v>35.043987600000001</v>
      </c>
      <c r="I2143" s="380"/>
      <c r="J2143" s="631"/>
      <c r="K2143" s="593">
        <f t="shared" si="602"/>
        <v>0</v>
      </c>
      <c r="L2143" s="594"/>
      <c r="M2143" s="600"/>
      <c r="N2143" s="600">
        <v>0</v>
      </c>
      <c r="O2143" s="287">
        <f t="shared" si="572"/>
        <v>0</v>
      </c>
      <c r="P2143" s="287">
        <f t="shared" si="573"/>
        <v>0</v>
      </c>
      <c r="Q2143" s="288"/>
      <c r="R2143" s="243" t="str">
        <f>IF(P2140&gt;0,"xy","")</f>
        <v/>
      </c>
      <c r="S2143" s="378" t="str">
        <f t="shared" si="599"/>
        <v/>
      </c>
    </row>
    <row r="2144" spans="2:19" hidden="1" x14ac:dyDescent="0.2">
      <c r="B2144" s="771" t="s">
        <v>168</v>
      </c>
      <c r="C2144" s="596"/>
      <c r="D2144" s="383" t="s">
        <v>402</v>
      </c>
      <c r="E2144" s="704"/>
      <c r="F2144" s="661">
        <v>30</v>
      </c>
      <c r="G2144" s="665">
        <f>VLOOKUP(D2140,'ENSAIOS DE ORÇAMENTO'!$C$3:$L$79,3,FALSE)</f>
        <v>0</v>
      </c>
      <c r="H2144" s="663">
        <f>IF(F2144&lt;=30,(1.05*F2144+2.18)*G2144,((1.05*30+2.18)+0.87*(F2144-30))*G2144)</f>
        <v>0</v>
      </c>
      <c r="I2144" s="380"/>
      <c r="J2144" s="631"/>
      <c r="K2144" s="593">
        <f t="shared" si="602"/>
        <v>0</v>
      </c>
      <c r="L2144" s="594"/>
      <c r="M2144" s="600"/>
      <c r="N2144" s="600">
        <v>0</v>
      </c>
      <c r="O2144" s="287">
        <f t="shared" si="572"/>
        <v>0</v>
      </c>
      <c r="P2144" s="287">
        <f t="shared" si="573"/>
        <v>0</v>
      </c>
      <c r="Q2144" s="288"/>
      <c r="R2144" s="311" t="str">
        <f>IF(P2140&gt;0,"xy","")</f>
        <v/>
      </c>
      <c r="S2144" s="378" t="str">
        <f t="shared" si="599"/>
        <v/>
      </c>
    </row>
    <row r="2145" spans="2:19" hidden="1" x14ac:dyDescent="0.2">
      <c r="B2145" s="771" t="s">
        <v>168</v>
      </c>
      <c r="C2145" s="596"/>
      <c r="D2145" s="383" t="s">
        <v>403</v>
      </c>
      <c r="E2145" s="704"/>
      <c r="F2145" s="661">
        <v>500</v>
      </c>
      <c r="G2145" s="665">
        <f>VLOOKUP(D2140,'ENSAIOS DE ORÇAMENTO'!$C$3:$L$79,10,FALSE)</f>
        <v>0</v>
      </c>
      <c r="H2145" s="663">
        <f>IF(F2145&lt;=30,(1.05*F2145+2.18)*G2145,((1.05*30+2.18)+0.87*(F2145-30))*G2145)</f>
        <v>0</v>
      </c>
      <c r="I2145" s="380"/>
      <c r="J2145" s="631"/>
      <c r="K2145" s="593">
        <f t="shared" si="602"/>
        <v>0</v>
      </c>
      <c r="L2145" s="594"/>
      <c r="M2145" s="600"/>
      <c r="N2145" s="600">
        <v>0</v>
      </c>
      <c r="O2145" s="287">
        <f t="shared" si="572"/>
        <v>0</v>
      </c>
      <c r="P2145" s="287">
        <f t="shared" si="573"/>
        <v>0</v>
      </c>
      <c r="Q2145" s="288"/>
      <c r="R2145" s="311" t="str">
        <f>IF(P2140&gt;0,"xy","")</f>
        <v/>
      </c>
      <c r="S2145" s="378" t="str">
        <f t="shared" si="599"/>
        <v/>
      </c>
    </row>
    <row r="2146" spans="2:19" hidden="1" x14ac:dyDescent="0.2">
      <c r="B2146" s="771" t="s">
        <v>114</v>
      </c>
      <c r="C2146" s="596" t="s">
        <v>207</v>
      </c>
      <c r="D2146" s="383" t="s">
        <v>405</v>
      </c>
      <c r="E2146" s="704"/>
      <c r="F2146" s="661"/>
      <c r="G2146" s="665">
        <f>G2170</f>
        <v>0</v>
      </c>
      <c r="H2146" s="664">
        <f>SUM(H2147:H2151)</f>
        <v>475.33982000000003</v>
      </c>
      <c r="I2146" s="380">
        <f>VLOOKUP(D2146,'ENSAIOS DE ORÇAMENTO'!$C$3:$L$79,8,FALSE)</f>
        <v>1311.0954299999999</v>
      </c>
      <c r="J2146" s="631">
        <f t="shared" ref="J2146" si="613">IF(ISBLANK(I2146),"",SUM(H2146:I2146))</f>
        <v>1786.43525</v>
      </c>
      <c r="K2146" s="593">
        <f t="shared" si="602"/>
        <v>2264.31</v>
      </c>
      <c r="L2146" s="594" t="s">
        <v>21</v>
      </c>
      <c r="M2146" s="30"/>
      <c r="N2146" s="30">
        <v>2264.31</v>
      </c>
      <c r="O2146" s="287">
        <f t="shared" ref="O2146:O2214" si="614">IF(ISBLANK(M2146),0,ROUND(K2146*M2146,2))</f>
        <v>0</v>
      </c>
      <c r="P2146" s="287">
        <f t="shared" ref="P2146:P2214" si="615">IF(ISBLANK(N2146),0,ROUND(M2146*N2146,2))</f>
        <v>0</v>
      </c>
      <c r="Q2146" s="288"/>
      <c r="S2146" s="378" t="str">
        <f t="shared" si="599"/>
        <v/>
      </c>
    </row>
    <row r="2147" spans="2:19" hidden="1" x14ac:dyDescent="0.2">
      <c r="B2147" s="771" t="s">
        <v>168</v>
      </c>
      <c r="C2147" s="596"/>
      <c r="D2147" s="383" t="s">
        <v>213</v>
      </c>
      <c r="E2147" s="704"/>
      <c r="F2147" s="661">
        <v>500</v>
      </c>
      <c r="G2147" s="665">
        <f>VLOOKUP(D2146,'ENSAIOS DE ORÇAMENTO'!$C$3:$L$79,4,FALSE)</f>
        <v>0.54156000000000004</v>
      </c>
      <c r="H2147" s="664">
        <f>IF(F2147&lt;=30,(0.75*F2147+6.29)*G2147,((0.75*30+6.29)+0.62*(F2147-30))*G2147)</f>
        <v>173.4020964</v>
      </c>
      <c r="I2147" s="380"/>
      <c r="J2147" s="631"/>
      <c r="K2147" s="593">
        <f t="shared" si="602"/>
        <v>0</v>
      </c>
      <c r="L2147" s="594"/>
      <c r="M2147" s="600"/>
      <c r="N2147" s="600">
        <v>0</v>
      </c>
      <c r="O2147" s="287">
        <f t="shared" si="614"/>
        <v>0</v>
      </c>
      <c r="P2147" s="287">
        <f t="shared" si="615"/>
        <v>0</v>
      </c>
      <c r="Q2147" s="288"/>
      <c r="R2147" s="311" t="str">
        <f>IF(P2146&gt;0,"xy","")</f>
        <v/>
      </c>
      <c r="S2147" s="378" t="str">
        <f t="shared" si="599"/>
        <v/>
      </c>
    </row>
    <row r="2148" spans="2:19" hidden="1" x14ac:dyDescent="0.2">
      <c r="B2148" s="771" t="s">
        <v>168</v>
      </c>
      <c r="C2148" s="596"/>
      <c r="D2148" s="383" t="s">
        <v>249</v>
      </c>
      <c r="E2148" s="704"/>
      <c r="F2148" s="661">
        <v>180</v>
      </c>
      <c r="G2148" s="665">
        <f>VLOOKUP(D2146,'ENSAIOS DE ORÇAMENTO'!$C$3:$L$79,5,FALSE)</f>
        <v>1.5739000000000001</v>
      </c>
      <c r="H2148" s="663">
        <f t="shared" ref="H2148" si="616">IF(F2148&lt;=30,(1.05*F2148+2.18)*G2148,((1.05*30+2.18)+0.87*(F2148-30))*G2148)</f>
        <v>258.40290200000004</v>
      </c>
      <c r="I2148" s="380"/>
      <c r="J2148" s="631"/>
      <c r="K2148" s="593">
        <f t="shared" si="602"/>
        <v>0</v>
      </c>
      <c r="L2148" s="594"/>
      <c r="M2148" s="600"/>
      <c r="N2148" s="600">
        <v>0</v>
      </c>
      <c r="O2148" s="287">
        <f t="shared" si="614"/>
        <v>0</v>
      </c>
      <c r="P2148" s="287">
        <f t="shared" si="615"/>
        <v>0</v>
      </c>
      <c r="Q2148" s="288"/>
      <c r="R2148" s="311" t="str">
        <f>IF(P2146&gt;0,"xy","")</f>
        <v/>
      </c>
      <c r="S2148" s="378" t="str">
        <f t="shared" si="599"/>
        <v/>
      </c>
    </row>
    <row r="2149" spans="2:19" hidden="1" x14ac:dyDescent="0.2">
      <c r="B2149" s="771" t="s">
        <v>168</v>
      </c>
      <c r="C2149" s="596"/>
      <c r="D2149" s="383" t="s">
        <v>253</v>
      </c>
      <c r="E2149" s="704"/>
      <c r="F2149" s="661">
        <v>20</v>
      </c>
      <c r="G2149" s="665">
        <f>VLOOKUP(D2146,'ENSAIOS DE ORÇAMENTO'!$C$3:$L$79,6,FALSE)</f>
        <v>1.8781200000000002</v>
      </c>
      <c r="H2149" s="663">
        <f>IF(F2149&lt;=30,(1.05*F2149+2.18)*G2149,((1.05*30+2.18)+0.87*(F2149-30))*G2149)</f>
        <v>43.534821600000008</v>
      </c>
      <c r="I2149" s="380"/>
      <c r="J2149" s="631"/>
      <c r="K2149" s="593">
        <f t="shared" si="602"/>
        <v>0</v>
      </c>
      <c r="L2149" s="594"/>
      <c r="M2149" s="600"/>
      <c r="N2149" s="600">
        <v>0</v>
      </c>
      <c r="O2149" s="287">
        <f t="shared" si="614"/>
        <v>0</v>
      </c>
      <c r="P2149" s="287">
        <f t="shared" si="615"/>
        <v>0</v>
      </c>
      <c r="Q2149" s="288"/>
      <c r="R2149" s="243" t="str">
        <f>IF(P2146&gt;0,"xy","")</f>
        <v/>
      </c>
      <c r="S2149" s="378" t="str">
        <f t="shared" si="599"/>
        <v/>
      </c>
    </row>
    <row r="2150" spans="2:19" hidden="1" x14ac:dyDescent="0.2">
      <c r="B2150" s="771" t="s">
        <v>168</v>
      </c>
      <c r="C2150" s="596"/>
      <c r="D2150" s="383" t="s">
        <v>402</v>
      </c>
      <c r="E2150" s="704"/>
      <c r="F2150" s="661">
        <v>30</v>
      </c>
      <c r="G2150" s="665">
        <f>VLOOKUP(D2146,'ENSAIOS DE ORÇAMENTO'!$C$3:$L$79,3,FALSE)</f>
        <v>0</v>
      </c>
      <c r="H2150" s="663">
        <f>IF(F2150&lt;=30,(1.05*F2150+2.18)*G2150,((1.05*30+2.18)+0.87*(F2150-30))*G2150)</f>
        <v>0</v>
      </c>
      <c r="I2150" s="380"/>
      <c r="J2150" s="631"/>
      <c r="K2150" s="593">
        <f t="shared" si="602"/>
        <v>0</v>
      </c>
      <c r="L2150" s="594"/>
      <c r="M2150" s="600"/>
      <c r="N2150" s="600">
        <v>0</v>
      </c>
      <c r="O2150" s="287">
        <f t="shared" si="614"/>
        <v>0</v>
      </c>
      <c r="P2150" s="287">
        <f t="shared" si="615"/>
        <v>0</v>
      </c>
      <c r="Q2150" s="288"/>
      <c r="R2150" s="311" t="str">
        <f>IF(P2146&gt;0,"xy","")</f>
        <v/>
      </c>
      <c r="S2150" s="378" t="str">
        <f t="shared" si="599"/>
        <v/>
      </c>
    </row>
    <row r="2151" spans="2:19" hidden="1" x14ac:dyDescent="0.2">
      <c r="B2151" s="771" t="s">
        <v>168</v>
      </c>
      <c r="C2151" s="596"/>
      <c r="D2151" s="383" t="s">
        <v>403</v>
      </c>
      <c r="E2151" s="704"/>
      <c r="F2151" s="661">
        <v>500</v>
      </c>
      <c r="G2151" s="665">
        <f>VLOOKUP(D2146,'ENSAIOS DE ORÇAMENTO'!$C$3:$L$79,10,FALSE)</f>
        <v>0</v>
      </c>
      <c r="H2151" s="663">
        <f>IF(F2151&lt;=30,(1.05*F2151+2.18)*G2151,((1.05*30+2.18)+0.87*(F2151-30))*G2151)</f>
        <v>0</v>
      </c>
      <c r="I2151" s="380"/>
      <c r="J2151" s="631"/>
      <c r="K2151" s="593">
        <f t="shared" si="602"/>
        <v>0</v>
      </c>
      <c r="L2151" s="594"/>
      <c r="M2151" s="600"/>
      <c r="N2151" s="600">
        <v>0</v>
      </c>
      <c r="O2151" s="287">
        <f t="shared" si="614"/>
        <v>0</v>
      </c>
      <c r="P2151" s="287">
        <f t="shared" si="615"/>
        <v>0</v>
      </c>
      <c r="Q2151" s="288"/>
      <c r="R2151" s="311" t="str">
        <f>IF(P2146&gt;0,"xy","")</f>
        <v/>
      </c>
      <c r="S2151" s="378" t="str">
        <f t="shared" si="599"/>
        <v/>
      </c>
    </row>
    <row r="2152" spans="2:19" hidden="1" x14ac:dyDescent="0.2">
      <c r="B2152" s="771" t="s">
        <v>115</v>
      </c>
      <c r="C2152" s="596" t="s">
        <v>207</v>
      </c>
      <c r="D2152" s="383" t="s">
        <v>406</v>
      </c>
      <c r="E2152" s="704"/>
      <c r="F2152" s="661"/>
      <c r="G2152" s="665">
        <f>G2176</f>
        <v>0</v>
      </c>
      <c r="H2152" s="664">
        <f>SUM(H2153:H2157)</f>
        <v>627.94505120000008</v>
      </c>
      <c r="I2152" s="380">
        <f>VLOOKUP(D2152,'ENSAIOS DE ORÇAMENTO'!$C$3:$L$79,8,FALSE)</f>
        <v>1622.25848</v>
      </c>
      <c r="J2152" s="631">
        <f t="shared" ref="J2152" si="617">IF(ISBLANK(I2152),"",SUM(H2152:I2152))</f>
        <v>2250.2035311999998</v>
      </c>
      <c r="K2152" s="593">
        <f t="shared" si="602"/>
        <v>2852.13</v>
      </c>
      <c r="L2152" s="594" t="s">
        <v>21</v>
      </c>
      <c r="M2152" s="30"/>
      <c r="N2152" s="30">
        <v>2852.13</v>
      </c>
      <c r="O2152" s="287">
        <f t="shared" si="614"/>
        <v>0</v>
      </c>
      <c r="P2152" s="287">
        <f t="shared" si="615"/>
        <v>0</v>
      </c>
      <c r="Q2152" s="288"/>
      <c r="S2152" s="378" t="str">
        <f t="shared" si="599"/>
        <v/>
      </c>
    </row>
    <row r="2153" spans="2:19" hidden="1" x14ac:dyDescent="0.2">
      <c r="B2153" s="771" t="s">
        <v>168</v>
      </c>
      <c r="C2153" s="596"/>
      <c r="D2153" s="383" t="s">
        <v>213</v>
      </c>
      <c r="E2153" s="704"/>
      <c r="F2153" s="661">
        <v>500</v>
      </c>
      <c r="G2153" s="665">
        <f>VLOOKUP(D2152,'ENSAIOS DE ORÇAMENTO'!$C$3:$L$79,4,FALSE)</f>
        <v>0.71976000000000007</v>
      </c>
      <c r="H2153" s="664">
        <f>IF(F2153&lt;=30,(0.75*F2153+6.29)*G2153,((0.75*30+6.29)+0.62*(F2153-30))*G2153)</f>
        <v>230.45995440000002</v>
      </c>
      <c r="I2153" s="380"/>
      <c r="J2153" s="631"/>
      <c r="K2153" s="593">
        <f t="shared" si="602"/>
        <v>0</v>
      </c>
      <c r="L2153" s="594"/>
      <c r="M2153" s="600"/>
      <c r="N2153" s="600">
        <v>0</v>
      </c>
      <c r="O2153" s="287">
        <f t="shared" si="614"/>
        <v>0</v>
      </c>
      <c r="P2153" s="287">
        <f t="shared" si="615"/>
        <v>0</v>
      </c>
      <c r="Q2153" s="288"/>
      <c r="R2153" s="311" t="str">
        <f>IF(P2152&gt;0,"xy","")</f>
        <v/>
      </c>
      <c r="S2153" s="378" t="str">
        <f t="shared" si="599"/>
        <v/>
      </c>
    </row>
    <row r="2154" spans="2:19" hidden="1" x14ac:dyDescent="0.2">
      <c r="B2154" s="771" t="s">
        <v>168</v>
      </c>
      <c r="C2154" s="596"/>
      <c r="D2154" s="383" t="s">
        <v>249</v>
      </c>
      <c r="E2154" s="704"/>
      <c r="F2154" s="661">
        <v>180</v>
      </c>
      <c r="G2154" s="665">
        <f>VLOOKUP(D2152,'ENSAIOS DE ORÇAMENTO'!$C$3:$L$79,5,FALSE)</f>
        <v>2.0712400000000004</v>
      </c>
      <c r="H2154" s="663">
        <f t="shared" ref="H2154" si="618">IF(F2154&lt;=30,(1.05*F2154+2.18)*G2154,((1.05*30+2.18)+0.87*(F2154-30))*G2154)</f>
        <v>340.05618320000008</v>
      </c>
      <c r="I2154" s="380"/>
      <c r="J2154" s="631"/>
      <c r="K2154" s="593">
        <f t="shared" si="602"/>
        <v>0</v>
      </c>
      <c r="L2154" s="594"/>
      <c r="M2154" s="600"/>
      <c r="N2154" s="600">
        <v>0</v>
      </c>
      <c r="O2154" s="287">
        <f t="shared" si="614"/>
        <v>0</v>
      </c>
      <c r="P2154" s="287">
        <f t="shared" si="615"/>
        <v>0</v>
      </c>
      <c r="Q2154" s="288"/>
      <c r="R2154" s="311" t="str">
        <f>IF(P2152&gt;0,"xy","")</f>
        <v/>
      </c>
      <c r="S2154" s="378" t="str">
        <f t="shared" si="599"/>
        <v/>
      </c>
    </row>
    <row r="2155" spans="2:19" hidden="1" x14ac:dyDescent="0.2">
      <c r="B2155" s="771" t="s">
        <v>168</v>
      </c>
      <c r="C2155" s="596"/>
      <c r="D2155" s="383" t="s">
        <v>253</v>
      </c>
      <c r="E2155" s="704"/>
      <c r="F2155" s="661">
        <v>20</v>
      </c>
      <c r="G2155" s="665">
        <f>VLOOKUP(D2152,'ENSAIOS DE ORÇAMENTO'!$C$3:$L$79,6,FALSE)</f>
        <v>2.4775200000000002</v>
      </c>
      <c r="H2155" s="663">
        <f>IF(F2155&lt;=30,(1.05*F2155+2.18)*G2155,((1.05*30+2.18)+0.87*(F2155-30))*G2155)</f>
        <v>57.428913600000001</v>
      </c>
      <c r="I2155" s="380"/>
      <c r="J2155" s="631"/>
      <c r="K2155" s="593">
        <f t="shared" si="602"/>
        <v>0</v>
      </c>
      <c r="L2155" s="594"/>
      <c r="M2155" s="600"/>
      <c r="N2155" s="600">
        <v>0</v>
      </c>
      <c r="O2155" s="287">
        <f t="shared" si="614"/>
        <v>0</v>
      </c>
      <c r="P2155" s="287">
        <f t="shared" si="615"/>
        <v>0</v>
      </c>
      <c r="Q2155" s="288"/>
      <c r="R2155" s="243" t="str">
        <f>IF(P2152&gt;0,"xy","")</f>
        <v/>
      </c>
      <c r="S2155" s="378" t="str">
        <f t="shared" si="599"/>
        <v/>
      </c>
    </row>
    <row r="2156" spans="2:19" hidden="1" x14ac:dyDescent="0.2">
      <c r="B2156" s="771" t="s">
        <v>168</v>
      </c>
      <c r="C2156" s="596"/>
      <c r="D2156" s="383" t="s">
        <v>402</v>
      </c>
      <c r="E2156" s="704"/>
      <c r="F2156" s="661">
        <v>30</v>
      </c>
      <c r="G2156" s="665">
        <f>VLOOKUP(D2152,'ENSAIOS DE ORÇAMENTO'!$C$3:$L$79,3,FALSE)</f>
        <v>0</v>
      </c>
      <c r="H2156" s="663">
        <f>IF(F2156&lt;=30,(1.05*F2156+2.18)*G2156,((1.05*30+2.18)+0.87*(F2156-30))*G2156)</f>
        <v>0</v>
      </c>
      <c r="I2156" s="380"/>
      <c r="J2156" s="631"/>
      <c r="K2156" s="593">
        <f t="shared" si="602"/>
        <v>0</v>
      </c>
      <c r="L2156" s="594"/>
      <c r="M2156" s="600"/>
      <c r="N2156" s="600">
        <v>0</v>
      </c>
      <c r="O2156" s="287">
        <f t="shared" si="614"/>
        <v>0</v>
      </c>
      <c r="P2156" s="287">
        <f t="shared" si="615"/>
        <v>0</v>
      </c>
      <c r="Q2156" s="288"/>
      <c r="R2156" s="311" t="str">
        <f>IF(P2152&gt;0,"xy","")</f>
        <v/>
      </c>
      <c r="S2156" s="378" t="str">
        <f t="shared" si="599"/>
        <v/>
      </c>
    </row>
    <row r="2157" spans="2:19" hidden="1" x14ac:dyDescent="0.2">
      <c r="B2157" s="771" t="s">
        <v>168</v>
      </c>
      <c r="C2157" s="596"/>
      <c r="D2157" s="383" t="s">
        <v>403</v>
      </c>
      <c r="E2157" s="704"/>
      <c r="F2157" s="661">
        <v>500</v>
      </c>
      <c r="G2157" s="665">
        <f>VLOOKUP(D2152,'ENSAIOS DE ORÇAMENTO'!$C$3:$L$79,10,FALSE)</f>
        <v>0</v>
      </c>
      <c r="H2157" s="663">
        <f>IF(F2157&lt;=30,(1.05*F2157+2.18)*G2157,((1.05*30+2.18)+0.87*(F2157-30))*G2157)</f>
        <v>0</v>
      </c>
      <c r="I2157" s="380"/>
      <c r="J2157" s="631"/>
      <c r="K2157" s="593">
        <f t="shared" si="602"/>
        <v>0</v>
      </c>
      <c r="L2157" s="594"/>
      <c r="M2157" s="600"/>
      <c r="N2157" s="600">
        <v>0</v>
      </c>
      <c r="O2157" s="287">
        <f t="shared" si="614"/>
        <v>0</v>
      </c>
      <c r="P2157" s="287">
        <f t="shared" si="615"/>
        <v>0</v>
      </c>
      <c r="Q2157" s="288"/>
      <c r="R2157" s="311" t="str">
        <f>IF(P2152&gt;0,"xy","")</f>
        <v/>
      </c>
      <c r="S2157" s="378" t="str">
        <f t="shared" si="599"/>
        <v/>
      </c>
    </row>
    <row r="2158" spans="2:19" hidden="1" x14ac:dyDescent="0.2">
      <c r="B2158" s="771" t="s">
        <v>116</v>
      </c>
      <c r="C2158" s="596" t="s">
        <v>207</v>
      </c>
      <c r="D2158" s="383" t="s">
        <v>407</v>
      </c>
      <c r="E2158" s="704"/>
      <c r="F2158" s="661"/>
      <c r="G2158" s="665">
        <f>G2182</f>
        <v>0</v>
      </c>
      <c r="H2158" s="664">
        <f>SUM(H2159:H2163)</f>
        <v>783.37630519999993</v>
      </c>
      <c r="I2158" s="380">
        <f>VLOOKUP(D2158,'ENSAIOS DE ORÇAMENTO'!$C$3:$L$79,8,FALSE)</f>
        <v>1937.9955299999997</v>
      </c>
      <c r="J2158" s="631">
        <f t="shared" ref="J2158" si="619">IF(ISBLANK(I2158),"",SUM(H2158:I2158))</f>
        <v>2721.3718351999996</v>
      </c>
      <c r="K2158" s="593">
        <f t="shared" si="602"/>
        <v>3449.34</v>
      </c>
      <c r="L2158" s="594" t="s">
        <v>21</v>
      </c>
      <c r="M2158" s="30"/>
      <c r="N2158" s="30">
        <v>3449.34</v>
      </c>
      <c r="O2158" s="287">
        <f t="shared" si="614"/>
        <v>0</v>
      </c>
      <c r="P2158" s="287">
        <f t="shared" si="615"/>
        <v>0</v>
      </c>
      <c r="Q2158" s="288"/>
      <c r="S2158" s="378" t="str">
        <f t="shared" si="599"/>
        <v/>
      </c>
    </row>
    <row r="2159" spans="2:19" hidden="1" x14ac:dyDescent="0.2">
      <c r="B2159" s="771" t="s">
        <v>168</v>
      </c>
      <c r="C2159" s="596"/>
      <c r="D2159" s="383" t="s">
        <v>213</v>
      </c>
      <c r="E2159" s="704"/>
      <c r="F2159" s="661">
        <v>500</v>
      </c>
      <c r="G2159" s="665">
        <f>VLOOKUP(D2158,'ENSAIOS DE ORÇAMENTO'!$C$3:$L$79,4,FALSE)</f>
        <v>0.90125999999999995</v>
      </c>
      <c r="H2159" s="664">
        <f>IF(F2159&lt;=30,(0.75*F2159+6.29)*G2159,((0.75*30+6.29)+0.62*(F2159-30))*G2159)</f>
        <v>288.57443939999996</v>
      </c>
      <c r="I2159" s="380"/>
      <c r="J2159" s="631"/>
      <c r="K2159" s="593">
        <f t="shared" si="602"/>
        <v>0</v>
      </c>
      <c r="L2159" s="594"/>
      <c r="M2159" s="600"/>
      <c r="N2159" s="600">
        <v>0</v>
      </c>
      <c r="O2159" s="287">
        <f t="shared" si="614"/>
        <v>0</v>
      </c>
      <c r="P2159" s="287">
        <f t="shared" si="615"/>
        <v>0</v>
      </c>
      <c r="Q2159" s="288"/>
      <c r="R2159" s="311" t="str">
        <f>IF(P2158&gt;0,"xy","")</f>
        <v/>
      </c>
      <c r="S2159" s="378" t="str">
        <f t="shared" si="599"/>
        <v/>
      </c>
    </row>
    <row r="2160" spans="2:19" hidden="1" x14ac:dyDescent="0.2">
      <c r="B2160" s="771" t="s">
        <v>168</v>
      </c>
      <c r="C2160" s="596"/>
      <c r="D2160" s="383" t="s">
        <v>249</v>
      </c>
      <c r="E2160" s="704"/>
      <c r="F2160" s="661">
        <v>180</v>
      </c>
      <c r="G2160" s="665">
        <f>VLOOKUP(D2158,'ENSAIOS DE ORÇAMENTO'!$C$3:$L$79,5,FALSE)</f>
        <v>2.5777900000000002</v>
      </c>
      <c r="H2160" s="663">
        <f t="shared" ref="H2160" si="620">IF(F2160&lt;=30,(1.05*F2160+2.18)*G2160,((1.05*30+2.18)+0.87*(F2160-30))*G2160)</f>
        <v>423.22156220000005</v>
      </c>
      <c r="I2160" s="380"/>
      <c r="J2160" s="631"/>
      <c r="K2160" s="593">
        <f t="shared" si="602"/>
        <v>0</v>
      </c>
      <c r="L2160" s="594"/>
      <c r="M2160" s="600"/>
      <c r="N2160" s="600">
        <v>0</v>
      </c>
      <c r="O2160" s="287">
        <f t="shared" si="614"/>
        <v>0</v>
      </c>
      <c r="P2160" s="287">
        <f t="shared" si="615"/>
        <v>0</v>
      </c>
      <c r="Q2160" s="288"/>
      <c r="R2160" s="311" t="str">
        <f>IF(P2158&gt;0,"xy","")</f>
        <v/>
      </c>
      <c r="S2160" s="378" t="str">
        <f t="shared" si="599"/>
        <v/>
      </c>
    </row>
    <row r="2161" spans="2:19" hidden="1" x14ac:dyDescent="0.2">
      <c r="B2161" s="771" t="s">
        <v>168</v>
      </c>
      <c r="C2161" s="596"/>
      <c r="D2161" s="383" t="s">
        <v>253</v>
      </c>
      <c r="E2161" s="704"/>
      <c r="F2161" s="661">
        <v>20</v>
      </c>
      <c r="G2161" s="665">
        <f>VLOOKUP(D2158,'ENSAIOS DE ORÇAMENTO'!$C$3:$L$79,6,FALSE)</f>
        <v>3.0880200000000002</v>
      </c>
      <c r="H2161" s="663">
        <f>IF(F2161&lt;=30,(1.05*F2161+2.18)*G2161,((1.05*30+2.18)+0.87*(F2161-30))*G2161)</f>
        <v>71.580303600000008</v>
      </c>
      <c r="I2161" s="380"/>
      <c r="J2161" s="631"/>
      <c r="K2161" s="593">
        <f t="shared" si="602"/>
        <v>0</v>
      </c>
      <c r="L2161" s="594"/>
      <c r="M2161" s="600"/>
      <c r="N2161" s="600">
        <v>0</v>
      </c>
      <c r="O2161" s="287">
        <f t="shared" si="614"/>
        <v>0</v>
      </c>
      <c r="P2161" s="287">
        <f t="shared" si="615"/>
        <v>0</v>
      </c>
      <c r="Q2161" s="288"/>
      <c r="R2161" s="243" t="str">
        <f>IF(P2158&gt;0,"xy","")</f>
        <v/>
      </c>
      <c r="S2161" s="378" t="str">
        <f t="shared" si="599"/>
        <v/>
      </c>
    </row>
    <row r="2162" spans="2:19" hidden="1" x14ac:dyDescent="0.2">
      <c r="B2162" s="771" t="s">
        <v>168</v>
      </c>
      <c r="C2162" s="596"/>
      <c r="D2162" s="383" t="s">
        <v>402</v>
      </c>
      <c r="E2162" s="704"/>
      <c r="F2162" s="661">
        <v>30</v>
      </c>
      <c r="G2162" s="665">
        <f>VLOOKUP(D2158,'ENSAIOS DE ORÇAMENTO'!$C$3:$L$79,3,FALSE)</f>
        <v>0</v>
      </c>
      <c r="H2162" s="663">
        <f>IF(F2162&lt;=30,(1.05*F2162+2.18)*G2162,((1.05*30+2.18)+0.87*(F2162-30))*G2162)</f>
        <v>0</v>
      </c>
      <c r="I2162" s="380"/>
      <c r="J2162" s="631"/>
      <c r="K2162" s="593">
        <f t="shared" si="602"/>
        <v>0</v>
      </c>
      <c r="L2162" s="594"/>
      <c r="M2162" s="600"/>
      <c r="N2162" s="600">
        <v>0</v>
      </c>
      <c r="O2162" s="287">
        <f t="shared" si="614"/>
        <v>0</v>
      </c>
      <c r="P2162" s="287">
        <f t="shared" si="615"/>
        <v>0</v>
      </c>
      <c r="Q2162" s="288"/>
      <c r="R2162" s="311" t="str">
        <f>IF(P2158&gt;0,"xy","")</f>
        <v/>
      </c>
      <c r="S2162" s="378" t="str">
        <f t="shared" si="599"/>
        <v/>
      </c>
    </row>
    <row r="2163" spans="2:19" hidden="1" x14ac:dyDescent="0.2">
      <c r="B2163" s="771" t="s">
        <v>168</v>
      </c>
      <c r="C2163" s="596"/>
      <c r="D2163" s="383" t="s">
        <v>403</v>
      </c>
      <c r="E2163" s="704"/>
      <c r="F2163" s="661">
        <v>500</v>
      </c>
      <c r="G2163" s="665">
        <f>VLOOKUP(D2158,'ENSAIOS DE ORÇAMENTO'!$C$3:$L$79,10,FALSE)</f>
        <v>0</v>
      </c>
      <c r="H2163" s="663">
        <f>IF(F2163&lt;=30,(1.05*F2163+2.18)*G2163,((1.05*30+2.18)+0.87*(F2163-30))*G2163)</f>
        <v>0</v>
      </c>
      <c r="I2163" s="380"/>
      <c r="J2163" s="631"/>
      <c r="K2163" s="593">
        <f t="shared" si="602"/>
        <v>0</v>
      </c>
      <c r="L2163" s="594"/>
      <c r="M2163" s="600"/>
      <c r="N2163" s="600">
        <v>0</v>
      </c>
      <c r="O2163" s="287">
        <f t="shared" si="614"/>
        <v>0</v>
      </c>
      <c r="P2163" s="287">
        <f t="shared" si="615"/>
        <v>0</v>
      </c>
      <c r="Q2163" s="288"/>
      <c r="R2163" s="311" t="str">
        <f>IF(P2158&gt;0,"xy","")</f>
        <v/>
      </c>
      <c r="S2163" s="378" t="str">
        <f t="shared" si="599"/>
        <v/>
      </c>
    </row>
    <row r="2164" spans="2:19" hidden="1" x14ac:dyDescent="0.2">
      <c r="B2164" s="771" t="s">
        <v>28</v>
      </c>
      <c r="C2164" s="596" t="s">
        <v>207</v>
      </c>
      <c r="D2164" s="383" t="s">
        <v>108</v>
      </c>
      <c r="E2164" s="704"/>
      <c r="F2164" s="661"/>
      <c r="G2164" s="665"/>
      <c r="H2164" s="664">
        <f>SUM(H2165:H2169)</f>
        <v>181.14945399999999</v>
      </c>
      <c r="I2164" s="380">
        <f>VLOOKUP(D2164,'ENSAIOS DE ORÇAMENTO'!$C$3:$L$79,8,FALSE)</f>
        <v>1971.4355399999997</v>
      </c>
      <c r="J2164" s="631">
        <f t="shared" ref="J2164" si="621">IF(ISBLANK(I2164),"",SUM(H2164:I2164))</f>
        <v>2152.5849939999998</v>
      </c>
      <c r="K2164" s="593">
        <f t="shared" si="602"/>
        <v>2728.4</v>
      </c>
      <c r="L2164" s="594" t="s">
        <v>21</v>
      </c>
      <c r="M2164" s="30"/>
      <c r="N2164" s="30">
        <v>2728.4</v>
      </c>
      <c r="O2164" s="287">
        <f t="shared" si="614"/>
        <v>0</v>
      </c>
      <c r="P2164" s="287">
        <f t="shared" si="615"/>
        <v>0</v>
      </c>
      <c r="Q2164" s="288"/>
      <c r="S2164" s="378" t="str">
        <f t="shared" si="599"/>
        <v/>
      </c>
    </row>
    <row r="2165" spans="2:19" hidden="1" x14ac:dyDescent="0.2">
      <c r="B2165" s="771" t="s">
        <v>168</v>
      </c>
      <c r="C2165" s="596"/>
      <c r="D2165" s="383" t="s">
        <v>213</v>
      </c>
      <c r="E2165" s="704"/>
      <c r="F2165" s="661">
        <v>500</v>
      </c>
      <c r="G2165" s="665">
        <f>VLOOKUP(D2164,'ENSAIOS DE ORÇAMENTO'!$C$3:$L$79,4,FALSE)</f>
        <v>0.20478000000000002</v>
      </c>
      <c r="H2165" s="664">
        <f>IF(F2165&lt;=30,(0.75*F2165+6.29)*G2165,((0.75*30+6.29)+0.62*(F2165-30))*G2165)</f>
        <v>65.568508200000011</v>
      </c>
      <c r="I2165" s="380"/>
      <c r="J2165" s="631"/>
      <c r="K2165" s="593">
        <f t="shared" si="602"/>
        <v>0</v>
      </c>
      <c r="L2165" s="594"/>
      <c r="M2165" s="600"/>
      <c r="N2165" s="600">
        <v>0</v>
      </c>
      <c r="O2165" s="287">
        <f t="shared" si="614"/>
        <v>0</v>
      </c>
      <c r="P2165" s="287">
        <f t="shared" si="615"/>
        <v>0</v>
      </c>
      <c r="Q2165" s="288"/>
      <c r="R2165" s="311" t="str">
        <f>IF(P2164&gt;0,"xy","")</f>
        <v/>
      </c>
      <c r="S2165" s="378" t="str">
        <f t="shared" si="599"/>
        <v/>
      </c>
    </row>
    <row r="2166" spans="2:19" hidden="1" x14ac:dyDescent="0.2">
      <c r="B2166" s="771" t="s">
        <v>168</v>
      </c>
      <c r="C2166" s="596"/>
      <c r="D2166" s="383" t="s">
        <v>249</v>
      </c>
      <c r="E2166" s="704"/>
      <c r="F2166" s="661">
        <v>180</v>
      </c>
      <c r="G2166" s="665">
        <f>VLOOKUP(D2164,'ENSAIOS DE ORÇAMENTO'!$C$3:$L$79,5,FALSE)</f>
        <v>0.60275000000000001</v>
      </c>
      <c r="H2166" s="663">
        <f t="shared" ref="H2166" si="622">IF(F2166&lt;=30,(1.05*F2166+2.18)*G2166,((1.05*30+2.18)+0.87*(F2166-30))*G2166)</f>
        <v>98.959495000000004</v>
      </c>
      <c r="I2166" s="380"/>
      <c r="J2166" s="631"/>
      <c r="K2166" s="593">
        <f t="shared" si="602"/>
        <v>0</v>
      </c>
      <c r="L2166" s="594"/>
      <c r="M2166" s="600"/>
      <c r="N2166" s="600">
        <v>0</v>
      </c>
      <c r="O2166" s="287">
        <f t="shared" si="614"/>
        <v>0</v>
      </c>
      <c r="P2166" s="287">
        <f t="shared" si="615"/>
        <v>0</v>
      </c>
      <c r="Q2166" s="288"/>
      <c r="R2166" s="311" t="str">
        <f>IF(P2164&gt;0,"xy","")</f>
        <v/>
      </c>
      <c r="S2166" s="378" t="str">
        <f t="shared" si="599"/>
        <v/>
      </c>
    </row>
    <row r="2167" spans="2:19" hidden="1" x14ac:dyDescent="0.2">
      <c r="B2167" s="771" t="s">
        <v>168</v>
      </c>
      <c r="C2167" s="596"/>
      <c r="D2167" s="383" t="s">
        <v>253</v>
      </c>
      <c r="E2167" s="704"/>
      <c r="F2167" s="661">
        <v>20</v>
      </c>
      <c r="G2167" s="665">
        <f>VLOOKUP(D2164,'ENSAIOS DE ORÇAMENTO'!$C$3:$L$79,6,FALSE)</f>
        <v>0.71706000000000003</v>
      </c>
      <c r="H2167" s="663">
        <f>IF(F2167&lt;=30,(1.05*F2167+2.18)*G2167,((1.05*30+2.18)+0.87*(F2167-30))*G2167)</f>
        <v>16.621450800000002</v>
      </c>
      <c r="I2167" s="380"/>
      <c r="J2167" s="631"/>
      <c r="K2167" s="593">
        <f t="shared" si="602"/>
        <v>0</v>
      </c>
      <c r="L2167" s="594"/>
      <c r="M2167" s="600"/>
      <c r="N2167" s="600">
        <v>0</v>
      </c>
      <c r="O2167" s="287">
        <f t="shared" si="614"/>
        <v>0</v>
      </c>
      <c r="P2167" s="287">
        <f t="shared" si="615"/>
        <v>0</v>
      </c>
      <c r="Q2167" s="288"/>
      <c r="R2167" s="243" t="str">
        <f>IF(P2164&gt;0,"xy","")</f>
        <v/>
      </c>
      <c r="S2167" s="378" t="str">
        <f t="shared" si="599"/>
        <v/>
      </c>
    </row>
    <row r="2168" spans="2:19" hidden="1" x14ac:dyDescent="0.2">
      <c r="B2168" s="771" t="s">
        <v>168</v>
      </c>
      <c r="C2168" s="596"/>
      <c r="D2168" s="383" t="s">
        <v>402</v>
      </c>
      <c r="E2168" s="704"/>
      <c r="F2168" s="661">
        <v>30</v>
      </c>
      <c r="G2168" s="665">
        <f>VLOOKUP(D2164,'ENSAIOS DE ORÇAMENTO'!$C$3:$L$79,3,FALSE)</f>
        <v>0</v>
      </c>
      <c r="H2168" s="663">
        <f>IF(F2168&lt;=30,(1.05*F2168+2.18)*G2168,((1.05*30+2.18)+0.87*(F2168-30))*G2168)</f>
        <v>0</v>
      </c>
      <c r="I2168" s="380"/>
      <c r="J2168" s="631"/>
      <c r="K2168" s="593">
        <f t="shared" si="602"/>
        <v>0</v>
      </c>
      <c r="L2168" s="594"/>
      <c r="M2168" s="600"/>
      <c r="N2168" s="600">
        <v>0</v>
      </c>
      <c r="O2168" s="287">
        <f t="shared" si="614"/>
        <v>0</v>
      </c>
      <c r="P2168" s="287">
        <f t="shared" si="615"/>
        <v>0</v>
      </c>
      <c r="Q2168" s="288"/>
      <c r="R2168" s="311" t="str">
        <f>IF(P2164&gt;0,"xy","")</f>
        <v/>
      </c>
      <c r="S2168" s="378" t="str">
        <f t="shared" si="599"/>
        <v/>
      </c>
    </row>
    <row r="2169" spans="2:19" hidden="1" x14ac:dyDescent="0.2">
      <c r="B2169" s="771" t="s">
        <v>168</v>
      </c>
      <c r="C2169" s="596"/>
      <c r="D2169" s="383" t="s">
        <v>403</v>
      </c>
      <c r="E2169" s="704"/>
      <c r="F2169" s="661">
        <v>500</v>
      </c>
      <c r="G2169" s="665">
        <f>VLOOKUP(D2164,'ENSAIOS DE ORÇAMENTO'!$C$3:$L$79,10,FALSE)</f>
        <v>0</v>
      </c>
      <c r="H2169" s="663">
        <f>IF(F2169&lt;=30,(1.05*F2169+2.18)*G2169,((1.05*30+2.18)+0.87*(F2169-30))*G2169)</f>
        <v>0</v>
      </c>
      <c r="I2169" s="380"/>
      <c r="J2169" s="631"/>
      <c r="K2169" s="593">
        <f t="shared" si="602"/>
        <v>0</v>
      </c>
      <c r="L2169" s="594"/>
      <c r="M2169" s="600"/>
      <c r="N2169" s="600">
        <v>0</v>
      </c>
      <c r="O2169" s="287">
        <f t="shared" si="614"/>
        <v>0</v>
      </c>
      <c r="P2169" s="287">
        <f t="shared" si="615"/>
        <v>0</v>
      </c>
      <c r="Q2169" s="288"/>
      <c r="R2169" s="311" t="str">
        <f>IF(P2164&gt;0,"xy","")</f>
        <v/>
      </c>
      <c r="S2169" s="378" t="str">
        <f t="shared" si="599"/>
        <v/>
      </c>
    </row>
    <row r="2170" spans="2:19" hidden="1" x14ac:dyDescent="0.2">
      <c r="B2170" s="771" t="s">
        <v>29</v>
      </c>
      <c r="C2170" s="596" t="s">
        <v>207</v>
      </c>
      <c r="D2170" s="383" t="s">
        <v>105</v>
      </c>
      <c r="E2170" s="704"/>
      <c r="F2170" s="661"/>
      <c r="G2170" s="665"/>
      <c r="H2170" s="664">
        <f>SUM(H2171:H2175)</f>
        <v>226.36581879999997</v>
      </c>
      <c r="I2170" s="380">
        <f>VLOOKUP(D2170,'ENSAIOS DE ORÇAMENTO'!$C$3:$L$79,8,FALSE)</f>
        <v>2389.7063399999997</v>
      </c>
      <c r="J2170" s="631">
        <f t="shared" ref="J2170" si="623">IF(ISBLANK(I2170),"",SUM(H2170:I2170))</f>
        <v>2616.0721587999997</v>
      </c>
      <c r="K2170" s="593">
        <f t="shared" si="602"/>
        <v>3315.87</v>
      </c>
      <c r="L2170" s="594" t="s">
        <v>21</v>
      </c>
      <c r="M2170" s="30"/>
      <c r="N2170" s="30">
        <v>3315.87</v>
      </c>
      <c r="O2170" s="287">
        <f t="shared" si="614"/>
        <v>0</v>
      </c>
      <c r="P2170" s="287">
        <f t="shared" si="615"/>
        <v>0</v>
      </c>
      <c r="Q2170" s="288"/>
      <c r="S2170" s="378" t="str">
        <f t="shared" si="599"/>
        <v/>
      </c>
    </row>
    <row r="2171" spans="2:19" hidden="1" x14ac:dyDescent="0.2">
      <c r="B2171" s="771" t="s">
        <v>168</v>
      </c>
      <c r="C2171" s="596"/>
      <c r="D2171" s="383" t="s">
        <v>213</v>
      </c>
      <c r="E2171" s="704"/>
      <c r="F2171" s="661">
        <v>500</v>
      </c>
      <c r="G2171" s="665">
        <f>VLOOKUP(D2170,'ENSAIOS DE ORÇAMENTO'!$C$3:$L$79,4,FALSE)</f>
        <v>0.25757999999999998</v>
      </c>
      <c r="H2171" s="664">
        <f>IF(F2171&lt;=30,(0.75*F2171+6.29)*G2171,((0.75*30+6.29)+0.62*(F2171-30))*G2171)</f>
        <v>82.474540199999993</v>
      </c>
      <c r="I2171" s="380"/>
      <c r="J2171" s="631"/>
      <c r="K2171" s="593">
        <f t="shared" si="602"/>
        <v>0</v>
      </c>
      <c r="L2171" s="594"/>
      <c r="M2171" s="600"/>
      <c r="N2171" s="600">
        <v>0</v>
      </c>
      <c r="O2171" s="287">
        <f t="shared" si="614"/>
        <v>0</v>
      </c>
      <c r="P2171" s="287">
        <f t="shared" si="615"/>
        <v>0</v>
      </c>
      <c r="Q2171" s="288"/>
      <c r="R2171" s="311" t="str">
        <f>IF(P2170&gt;0,"xy","")</f>
        <v/>
      </c>
      <c r="S2171" s="378" t="str">
        <f t="shared" si="599"/>
        <v/>
      </c>
    </row>
    <row r="2172" spans="2:19" hidden="1" x14ac:dyDescent="0.2">
      <c r="B2172" s="771" t="s">
        <v>168</v>
      </c>
      <c r="C2172" s="596"/>
      <c r="D2172" s="383" t="s">
        <v>249</v>
      </c>
      <c r="E2172" s="704"/>
      <c r="F2172" s="661">
        <v>180</v>
      </c>
      <c r="G2172" s="665">
        <f>VLOOKUP(D2170,'ENSAIOS DE ORÇAMENTO'!$C$3:$L$79,5,FALSE)</f>
        <v>0.75010999999999994</v>
      </c>
      <c r="H2172" s="663">
        <f t="shared" ref="H2172" si="624">IF(F2172&lt;=30,(1.05*F2172+2.18)*G2172,((1.05*30+2.18)+0.87*(F2172-30))*G2172)</f>
        <v>123.15305979999999</v>
      </c>
      <c r="I2172" s="380"/>
      <c r="J2172" s="631"/>
      <c r="K2172" s="593">
        <f t="shared" si="602"/>
        <v>0</v>
      </c>
      <c r="L2172" s="594"/>
      <c r="M2172" s="600"/>
      <c r="N2172" s="600">
        <v>0</v>
      </c>
      <c r="O2172" s="287">
        <f t="shared" si="614"/>
        <v>0</v>
      </c>
      <c r="P2172" s="287">
        <f t="shared" si="615"/>
        <v>0</v>
      </c>
      <c r="Q2172" s="288"/>
      <c r="R2172" s="311" t="str">
        <f>IF(P2170&gt;0,"xy","")</f>
        <v/>
      </c>
      <c r="S2172" s="378" t="str">
        <f t="shared" si="599"/>
        <v/>
      </c>
    </row>
    <row r="2173" spans="2:19" hidden="1" x14ac:dyDescent="0.2">
      <c r="B2173" s="771" t="s">
        <v>168</v>
      </c>
      <c r="C2173" s="596"/>
      <c r="D2173" s="383" t="s">
        <v>253</v>
      </c>
      <c r="E2173" s="704"/>
      <c r="F2173" s="661">
        <v>20</v>
      </c>
      <c r="G2173" s="665">
        <f>VLOOKUP(D2170,'ENSAIOS DE ORÇAMENTO'!$C$3:$L$79,6,FALSE)</f>
        <v>0.89466000000000001</v>
      </c>
      <c r="H2173" s="663">
        <f>IF(F2173&lt;=30,(1.05*F2173+2.18)*G2173,((1.05*30+2.18)+0.87*(F2173-30))*G2173)</f>
        <v>20.738218799999999</v>
      </c>
      <c r="I2173" s="380"/>
      <c r="J2173" s="631"/>
      <c r="K2173" s="593">
        <f t="shared" si="602"/>
        <v>0</v>
      </c>
      <c r="L2173" s="594"/>
      <c r="M2173" s="600"/>
      <c r="N2173" s="600">
        <v>0</v>
      </c>
      <c r="O2173" s="287">
        <f t="shared" si="614"/>
        <v>0</v>
      </c>
      <c r="P2173" s="287">
        <f t="shared" si="615"/>
        <v>0</v>
      </c>
      <c r="Q2173" s="288"/>
      <c r="R2173" s="243" t="str">
        <f>IF(P2170&gt;0,"xy","")</f>
        <v/>
      </c>
      <c r="S2173" s="378" t="str">
        <f t="shared" ref="S2173:S2236" si="625">IF(R2173="x","x",IF(R2173="y","x",IF(R2173="xy","x",IF(P2173&gt;0,"x",""))))</f>
        <v/>
      </c>
    </row>
    <row r="2174" spans="2:19" hidden="1" x14ac:dyDescent="0.2">
      <c r="B2174" s="771" t="s">
        <v>168</v>
      </c>
      <c r="C2174" s="596"/>
      <c r="D2174" s="383" t="s">
        <v>402</v>
      </c>
      <c r="E2174" s="704"/>
      <c r="F2174" s="661">
        <v>30</v>
      </c>
      <c r="G2174" s="665">
        <f>VLOOKUP(D2170,'ENSAIOS DE ORÇAMENTO'!$C$3:$L$79,3,FALSE)</f>
        <v>0</v>
      </c>
      <c r="H2174" s="663">
        <f>IF(F2174&lt;=30,(1.05*F2174+2.18)*G2174,((1.05*30+2.18)+0.87*(F2174-30))*G2174)</f>
        <v>0</v>
      </c>
      <c r="I2174" s="380"/>
      <c r="J2174" s="631"/>
      <c r="K2174" s="593">
        <f t="shared" si="602"/>
        <v>0</v>
      </c>
      <c r="L2174" s="594"/>
      <c r="M2174" s="600"/>
      <c r="N2174" s="600">
        <v>0</v>
      </c>
      <c r="O2174" s="287">
        <f t="shared" si="614"/>
        <v>0</v>
      </c>
      <c r="P2174" s="287">
        <f t="shared" si="615"/>
        <v>0</v>
      </c>
      <c r="Q2174" s="288"/>
      <c r="R2174" s="311" t="str">
        <f>IF(P2170&gt;0,"xy","")</f>
        <v/>
      </c>
      <c r="S2174" s="378" t="str">
        <f t="shared" si="625"/>
        <v/>
      </c>
    </row>
    <row r="2175" spans="2:19" hidden="1" x14ac:dyDescent="0.2">
      <c r="B2175" s="771" t="s">
        <v>168</v>
      </c>
      <c r="C2175" s="596"/>
      <c r="D2175" s="383" t="s">
        <v>403</v>
      </c>
      <c r="E2175" s="704"/>
      <c r="F2175" s="661">
        <v>500</v>
      </c>
      <c r="G2175" s="665">
        <f>VLOOKUP(D2170,'ENSAIOS DE ORÇAMENTO'!$C$3:$L$79,10,FALSE)</f>
        <v>0</v>
      </c>
      <c r="H2175" s="663">
        <f>IF(F2175&lt;=30,(1.05*F2175+2.18)*G2175,((1.05*30+2.18)+0.87*(F2175-30))*G2175)</f>
        <v>0</v>
      </c>
      <c r="I2175" s="380"/>
      <c r="J2175" s="631"/>
      <c r="K2175" s="593">
        <f t="shared" si="602"/>
        <v>0</v>
      </c>
      <c r="L2175" s="594"/>
      <c r="M2175" s="600"/>
      <c r="N2175" s="600">
        <v>0</v>
      </c>
      <c r="O2175" s="287">
        <f t="shared" si="614"/>
        <v>0</v>
      </c>
      <c r="P2175" s="287">
        <f t="shared" si="615"/>
        <v>0</v>
      </c>
      <c r="Q2175" s="288"/>
      <c r="R2175" s="311" t="str">
        <f>IF(P2170&gt;0,"xy","")</f>
        <v/>
      </c>
      <c r="S2175" s="378" t="str">
        <f t="shared" si="625"/>
        <v/>
      </c>
    </row>
    <row r="2176" spans="2:19" hidden="1" x14ac:dyDescent="0.2">
      <c r="B2176" s="771" t="s">
        <v>30</v>
      </c>
      <c r="C2176" s="596" t="s">
        <v>207</v>
      </c>
      <c r="D2176" s="383" t="s">
        <v>106</v>
      </c>
      <c r="E2176" s="704"/>
      <c r="F2176" s="661"/>
      <c r="G2176" s="665"/>
      <c r="H2176" s="664">
        <f>SUM(H2177:H2181)</f>
        <v>299.84241159999999</v>
      </c>
      <c r="I2176" s="380">
        <f>VLOOKUP(D2176,'ENSAIOS DE ORÇAMENTO'!$C$3:$L$79,8,FALSE)</f>
        <v>2636.9644399999997</v>
      </c>
      <c r="J2176" s="631">
        <f t="shared" ref="J2176" si="626">IF(ISBLANK(I2176),"",SUM(H2176:I2176))</f>
        <v>2936.8068515999998</v>
      </c>
      <c r="K2176" s="593">
        <f t="shared" si="602"/>
        <v>3722.4</v>
      </c>
      <c r="L2176" s="594" t="s">
        <v>21</v>
      </c>
      <c r="M2176" s="30"/>
      <c r="N2176" s="30">
        <v>3722.4</v>
      </c>
      <c r="O2176" s="287">
        <f t="shared" si="614"/>
        <v>0</v>
      </c>
      <c r="P2176" s="287">
        <f t="shared" si="615"/>
        <v>0</v>
      </c>
      <c r="Q2176" s="288"/>
      <c r="S2176" s="378" t="str">
        <f t="shared" si="625"/>
        <v/>
      </c>
    </row>
    <row r="2177" spans="2:19" hidden="1" x14ac:dyDescent="0.2">
      <c r="B2177" s="771" t="s">
        <v>168</v>
      </c>
      <c r="C2177" s="596"/>
      <c r="D2177" s="383" t="s">
        <v>213</v>
      </c>
      <c r="E2177" s="704"/>
      <c r="F2177" s="661">
        <v>500</v>
      </c>
      <c r="G2177" s="665">
        <f>VLOOKUP(D2176,'ENSAIOS DE ORÇAMENTO'!$C$3:$L$79,4,FALSE)</f>
        <v>0.34338000000000002</v>
      </c>
      <c r="H2177" s="664">
        <f>IF(F2177&lt;=30,(0.75*F2177+6.29)*G2177,((0.75*30+6.29)+0.62*(F2177-30))*G2177)</f>
        <v>109.94684220000001</v>
      </c>
      <c r="I2177" s="380"/>
      <c r="J2177" s="631"/>
      <c r="K2177" s="593">
        <f t="shared" si="602"/>
        <v>0</v>
      </c>
      <c r="L2177" s="594"/>
      <c r="M2177" s="600"/>
      <c r="N2177" s="600">
        <v>0</v>
      </c>
      <c r="O2177" s="287">
        <f t="shared" si="614"/>
        <v>0</v>
      </c>
      <c r="P2177" s="287">
        <f t="shared" si="615"/>
        <v>0</v>
      </c>
      <c r="Q2177" s="288"/>
      <c r="R2177" s="311" t="str">
        <f>IF(P2176&gt;0,"xy","")</f>
        <v/>
      </c>
      <c r="S2177" s="378" t="str">
        <f t="shared" si="625"/>
        <v/>
      </c>
    </row>
    <row r="2178" spans="2:19" hidden="1" x14ac:dyDescent="0.2">
      <c r="B2178" s="771" t="s">
        <v>168</v>
      </c>
      <c r="C2178" s="596"/>
      <c r="D2178" s="383" t="s">
        <v>249</v>
      </c>
      <c r="E2178" s="704"/>
      <c r="F2178" s="661">
        <v>180</v>
      </c>
      <c r="G2178" s="665">
        <f>VLOOKUP(D2176,'ENSAIOS DE ORÇAMENTO'!$C$3:$L$79,5,FALSE)</f>
        <v>0.98957000000000006</v>
      </c>
      <c r="H2178" s="663">
        <f t="shared" ref="H2178" si="627">IF(F2178&lt;=30,(1.05*F2178+2.18)*G2178,((1.05*30+2.18)+0.87*(F2178-30))*G2178)</f>
        <v>162.46760260000002</v>
      </c>
      <c r="I2178" s="380"/>
      <c r="J2178" s="631"/>
      <c r="K2178" s="593">
        <f t="shared" ref="K2178:K2241" si="628">IF(ISBLANK(I2178),0,ROUND(J2178*(1+$F$10)*(1+$F$11*E2178),2))</f>
        <v>0</v>
      </c>
      <c r="L2178" s="594"/>
      <c r="M2178" s="600"/>
      <c r="N2178" s="600">
        <v>0</v>
      </c>
      <c r="O2178" s="287">
        <f t="shared" si="614"/>
        <v>0</v>
      </c>
      <c r="P2178" s="287">
        <f t="shared" si="615"/>
        <v>0</v>
      </c>
      <c r="Q2178" s="288"/>
      <c r="R2178" s="311" t="str">
        <f>IF(P2176&gt;0,"xy","")</f>
        <v/>
      </c>
      <c r="S2178" s="378" t="str">
        <f t="shared" si="625"/>
        <v/>
      </c>
    </row>
    <row r="2179" spans="2:19" hidden="1" x14ac:dyDescent="0.2">
      <c r="B2179" s="771" t="s">
        <v>168</v>
      </c>
      <c r="C2179" s="596"/>
      <c r="D2179" s="383" t="s">
        <v>253</v>
      </c>
      <c r="E2179" s="704"/>
      <c r="F2179" s="661">
        <v>20</v>
      </c>
      <c r="G2179" s="665">
        <f>VLOOKUP(D2176,'ENSAIOS DE ORÇAMENTO'!$C$3:$L$79,6,FALSE)</f>
        <v>1.1832600000000002</v>
      </c>
      <c r="H2179" s="663">
        <f>IF(F2179&lt;=30,(1.05*F2179+2.18)*G2179,((1.05*30+2.18)+0.87*(F2179-30))*G2179)</f>
        <v>27.427966800000004</v>
      </c>
      <c r="I2179" s="380"/>
      <c r="J2179" s="631"/>
      <c r="K2179" s="593">
        <f t="shared" si="628"/>
        <v>0</v>
      </c>
      <c r="L2179" s="594"/>
      <c r="M2179" s="600"/>
      <c r="N2179" s="600">
        <v>0</v>
      </c>
      <c r="O2179" s="287">
        <f t="shared" si="614"/>
        <v>0</v>
      </c>
      <c r="P2179" s="287">
        <f t="shared" si="615"/>
        <v>0</v>
      </c>
      <c r="Q2179" s="288"/>
      <c r="R2179" s="243" t="str">
        <f>IF(P2176&gt;0,"xy","")</f>
        <v/>
      </c>
      <c r="S2179" s="378" t="str">
        <f t="shared" si="625"/>
        <v/>
      </c>
    </row>
    <row r="2180" spans="2:19" hidden="1" x14ac:dyDescent="0.2">
      <c r="B2180" s="771" t="s">
        <v>168</v>
      </c>
      <c r="C2180" s="596"/>
      <c r="D2180" s="383" t="s">
        <v>402</v>
      </c>
      <c r="E2180" s="704"/>
      <c r="F2180" s="661">
        <v>30</v>
      </c>
      <c r="G2180" s="665">
        <f>VLOOKUP(D2176,'ENSAIOS DE ORÇAMENTO'!$C$3:$L$79,3,FALSE)</f>
        <v>0</v>
      </c>
      <c r="H2180" s="663">
        <f>IF(F2180&lt;=30,(1.05*F2180+2.18)*G2180,((1.05*30+2.18)+0.87*(F2180-30))*G2180)</f>
        <v>0</v>
      </c>
      <c r="I2180" s="380"/>
      <c r="J2180" s="631"/>
      <c r="K2180" s="593">
        <f t="shared" si="628"/>
        <v>0</v>
      </c>
      <c r="L2180" s="594"/>
      <c r="M2180" s="600"/>
      <c r="N2180" s="600">
        <v>0</v>
      </c>
      <c r="O2180" s="287">
        <f t="shared" si="614"/>
        <v>0</v>
      </c>
      <c r="P2180" s="287">
        <f t="shared" si="615"/>
        <v>0</v>
      </c>
      <c r="Q2180" s="288"/>
      <c r="R2180" s="311" t="str">
        <f>IF(P2176&gt;0,"xy","")</f>
        <v/>
      </c>
      <c r="S2180" s="378" t="str">
        <f t="shared" si="625"/>
        <v/>
      </c>
    </row>
    <row r="2181" spans="2:19" hidden="1" x14ac:dyDescent="0.2">
      <c r="B2181" s="771" t="s">
        <v>168</v>
      </c>
      <c r="C2181" s="596"/>
      <c r="D2181" s="383" t="s">
        <v>403</v>
      </c>
      <c r="E2181" s="704"/>
      <c r="F2181" s="661">
        <v>500</v>
      </c>
      <c r="G2181" s="665">
        <f>VLOOKUP(D2176,'ENSAIOS DE ORÇAMENTO'!$C$3:$L$79,10,FALSE)</f>
        <v>0</v>
      </c>
      <c r="H2181" s="663">
        <f>IF(F2181&lt;=30,(1.05*F2181+2.18)*G2181,((1.05*30+2.18)+0.87*(F2181-30))*G2181)</f>
        <v>0</v>
      </c>
      <c r="I2181" s="380"/>
      <c r="J2181" s="631"/>
      <c r="K2181" s="593">
        <f t="shared" si="628"/>
        <v>0</v>
      </c>
      <c r="L2181" s="594"/>
      <c r="M2181" s="600"/>
      <c r="N2181" s="600">
        <v>0</v>
      </c>
      <c r="O2181" s="287">
        <f t="shared" si="614"/>
        <v>0</v>
      </c>
      <c r="P2181" s="287">
        <f t="shared" si="615"/>
        <v>0</v>
      </c>
      <c r="Q2181" s="288"/>
      <c r="R2181" s="311" t="str">
        <f>IF(P2176&gt;0,"xy","")</f>
        <v/>
      </c>
      <c r="S2181" s="378" t="str">
        <f t="shared" si="625"/>
        <v/>
      </c>
    </row>
    <row r="2182" spans="2:19" hidden="1" x14ac:dyDescent="0.2">
      <c r="B2182" s="771" t="s">
        <v>31</v>
      </c>
      <c r="C2182" s="596" t="s">
        <v>207</v>
      </c>
      <c r="D2182" s="383" t="s">
        <v>107</v>
      </c>
      <c r="E2182" s="704"/>
      <c r="F2182" s="661"/>
      <c r="G2182" s="665"/>
      <c r="H2182" s="664">
        <f>SUM(H2183:H2187)</f>
        <v>373.31900439999998</v>
      </c>
      <c r="I2182" s="380">
        <f>VLOOKUP(D2182,'ENSAIOS DE ORÇAMENTO'!$C$3:$L$79,8,FALSE)</f>
        <v>3216.0570400000001</v>
      </c>
      <c r="J2182" s="631">
        <f t="shared" ref="J2182" si="629">IF(ISBLANK(I2182),"",SUM(H2182:I2182))</f>
        <v>3589.3760444</v>
      </c>
      <c r="K2182" s="593">
        <f t="shared" si="628"/>
        <v>4549.53</v>
      </c>
      <c r="L2182" s="594" t="s">
        <v>21</v>
      </c>
      <c r="M2182" s="30"/>
      <c r="N2182" s="30">
        <v>4549.53</v>
      </c>
      <c r="O2182" s="287">
        <f t="shared" si="614"/>
        <v>0</v>
      </c>
      <c r="P2182" s="287">
        <f t="shared" si="615"/>
        <v>0</v>
      </c>
      <c r="Q2182" s="288"/>
      <c r="S2182" s="378" t="str">
        <f t="shared" si="625"/>
        <v/>
      </c>
    </row>
    <row r="2183" spans="2:19" hidden="1" x14ac:dyDescent="0.2">
      <c r="B2183" s="771" t="s">
        <v>168</v>
      </c>
      <c r="C2183" s="596"/>
      <c r="D2183" s="383" t="s">
        <v>213</v>
      </c>
      <c r="E2183" s="704"/>
      <c r="F2183" s="661">
        <v>500</v>
      </c>
      <c r="G2183" s="665">
        <f>VLOOKUP(D2182,'ENSAIOS DE ORÇAMENTO'!$C$3:$L$79,4,FALSE)</f>
        <v>0.42918000000000001</v>
      </c>
      <c r="H2183" s="664">
        <f>IF(F2183&lt;=30,(0.75*F2183+6.29)*G2183,((0.75*30+6.29)+0.62*(F2183-30))*G2183)</f>
        <v>137.41914420000001</v>
      </c>
      <c r="I2183" s="380"/>
      <c r="J2183" s="631"/>
      <c r="K2183" s="593">
        <f t="shared" si="628"/>
        <v>0</v>
      </c>
      <c r="L2183" s="594"/>
      <c r="M2183" s="600"/>
      <c r="N2183" s="600">
        <v>0</v>
      </c>
      <c r="O2183" s="287">
        <f t="shared" si="614"/>
        <v>0</v>
      </c>
      <c r="P2183" s="287">
        <f t="shared" si="615"/>
        <v>0</v>
      </c>
      <c r="Q2183" s="288"/>
      <c r="R2183" s="311" t="str">
        <f>IF(P2182&gt;0,"xy","")</f>
        <v/>
      </c>
      <c r="S2183" s="378" t="str">
        <f t="shared" si="625"/>
        <v/>
      </c>
    </row>
    <row r="2184" spans="2:19" hidden="1" x14ac:dyDescent="0.2">
      <c r="B2184" s="771" t="s">
        <v>168</v>
      </c>
      <c r="C2184" s="596"/>
      <c r="D2184" s="383" t="s">
        <v>249</v>
      </c>
      <c r="E2184" s="704"/>
      <c r="F2184" s="661">
        <v>180</v>
      </c>
      <c r="G2184" s="665">
        <f>VLOOKUP(D2182,'ENSAIOS DE ORÇAMENTO'!$C$3:$L$79,5,FALSE)</f>
        <v>1.2290300000000001</v>
      </c>
      <c r="H2184" s="663">
        <f t="shared" ref="H2184" si="630">IF(F2184&lt;=30,(1.05*F2184+2.18)*G2184,((1.05*30+2.18)+0.87*(F2184-30))*G2184)</f>
        <v>201.78214540000002</v>
      </c>
      <c r="I2184" s="380"/>
      <c r="J2184" s="631"/>
      <c r="K2184" s="593">
        <f t="shared" si="628"/>
        <v>0</v>
      </c>
      <c r="L2184" s="594"/>
      <c r="M2184" s="600"/>
      <c r="N2184" s="600">
        <v>0</v>
      </c>
      <c r="O2184" s="287">
        <f t="shared" si="614"/>
        <v>0</v>
      </c>
      <c r="P2184" s="287">
        <f t="shared" si="615"/>
        <v>0</v>
      </c>
      <c r="Q2184" s="288"/>
      <c r="R2184" s="311" t="str">
        <f>IF(P2182&gt;0,"xy","")</f>
        <v/>
      </c>
      <c r="S2184" s="378" t="str">
        <f t="shared" si="625"/>
        <v/>
      </c>
    </row>
    <row r="2185" spans="2:19" hidden="1" x14ac:dyDescent="0.2">
      <c r="B2185" s="771" t="s">
        <v>168</v>
      </c>
      <c r="C2185" s="596"/>
      <c r="D2185" s="383" t="s">
        <v>253</v>
      </c>
      <c r="E2185" s="704"/>
      <c r="F2185" s="661">
        <v>20</v>
      </c>
      <c r="G2185" s="665">
        <f>VLOOKUP(D2182,'ENSAIOS DE ORÇAMENTO'!$C$3:$L$79,6,FALSE)</f>
        <v>1.4718600000000002</v>
      </c>
      <c r="H2185" s="663">
        <f>IF(F2185&lt;=30,(1.05*F2185+2.18)*G2185,((1.05*30+2.18)+0.87*(F2185-30))*G2185)</f>
        <v>34.117714800000002</v>
      </c>
      <c r="I2185" s="380"/>
      <c r="J2185" s="631"/>
      <c r="K2185" s="593">
        <f t="shared" si="628"/>
        <v>0</v>
      </c>
      <c r="L2185" s="594"/>
      <c r="M2185" s="600"/>
      <c r="N2185" s="600">
        <v>0</v>
      </c>
      <c r="O2185" s="287">
        <f t="shared" si="614"/>
        <v>0</v>
      </c>
      <c r="P2185" s="287">
        <f t="shared" si="615"/>
        <v>0</v>
      </c>
      <c r="Q2185" s="288"/>
      <c r="R2185" s="243" t="str">
        <f>IF(P2182&gt;0,"xy","")</f>
        <v/>
      </c>
      <c r="S2185" s="378" t="str">
        <f t="shared" si="625"/>
        <v/>
      </c>
    </row>
    <row r="2186" spans="2:19" hidden="1" x14ac:dyDescent="0.2">
      <c r="B2186" s="771" t="s">
        <v>168</v>
      </c>
      <c r="C2186" s="596"/>
      <c r="D2186" s="383" t="s">
        <v>402</v>
      </c>
      <c r="E2186" s="704"/>
      <c r="F2186" s="661">
        <v>30</v>
      </c>
      <c r="G2186" s="665">
        <f>VLOOKUP(D2182,'ENSAIOS DE ORÇAMENTO'!$C$3:$L$79,3,FALSE)</f>
        <v>0</v>
      </c>
      <c r="H2186" s="663">
        <f>IF(F2186&lt;=30,(1.05*F2186+2.18)*G2186,((1.05*30+2.18)+0.87*(F2186-30))*G2186)</f>
        <v>0</v>
      </c>
      <c r="I2186" s="380"/>
      <c r="J2186" s="631"/>
      <c r="K2186" s="593">
        <f t="shared" si="628"/>
        <v>0</v>
      </c>
      <c r="L2186" s="594"/>
      <c r="M2186" s="600"/>
      <c r="N2186" s="600">
        <v>0</v>
      </c>
      <c r="O2186" s="287">
        <f t="shared" si="614"/>
        <v>0</v>
      </c>
      <c r="P2186" s="287">
        <f t="shared" si="615"/>
        <v>0</v>
      </c>
      <c r="Q2186" s="288"/>
      <c r="R2186" s="311" t="str">
        <f>IF(P2182&gt;0,"xy","")</f>
        <v/>
      </c>
      <c r="S2186" s="378" t="str">
        <f t="shared" si="625"/>
        <v/>
      </c>
    </row>
    <row r="2187" spans="2:19" hidden="1" x14ac:dyDescent="0.2">
      <c r="B2187" s="771" t="s">
        <v>168</v>
      </c>
      <c r="C2187" s="596"/>
      <c r="D2187" s="383" t="s">
        <v>403</v>
      </c>
      <c r="E2187" s="704"/>
      <c r="F2187" s="661">
        <v>500</v>
      </c>
      <c r="G2187" s="665">
        <f>VLOOKUP(D2182,'ENSAIOS DE ORÇAMENTO'!$C$3:$L$79,10,FALSE)</f>
        <v>0</v>
      </c>
      <c r="H2187" s="663">
        <f>IF(F2187&lt;=30,(1.05*F2187+2.18)*G2187,((1.05*30+2.18)+0.87*(F2187-30))*G2187)</f>
        <v>0</v>
      </c>
      <c r="I2187" s="380"/>
      <c r="J2187" s="631"/>
      <c r="K2187" s="593">
        <f t="shared" si="628"/>
        <v>0</v>
      </c>
      <c r="L2187" s="594"/>
      <c r="M2187" s="600"/>
      <c r="N2187" s="600">
        <v>0</v>
      </c>
      <c r="O2187" s="287">
        <f t="shared" si="614"/>
        <v>0</v>
      </c>
      <c r="P2187" s="287">
        <f t="shared" si="615"/>
        <v>0</v>
      </c>
      <c r="Q2187" s="288"/>
      <c r="R2187" s="311" t="str">
        <f>IF(P2182&gt;0,"xy","")</f>
        <v/>
      </c>
      <c r="S2187" s="378" t="str">
        <f t="shared" si="625"/>
        <v/>
      </c>
    </row>
    <row r="2188" spans="2:19" hidden="1" x14ac:dyDescent="0.2">
      <c r="B2188" s="771" t="s">
        <v>32</v>
      </c>
      <c r="C2188" s="596" t="s">
        <v>207</v>
      </c>
      <c r="D2188" s="383" t="s">
        <v>101</v>
      </c>
      <c r="E2188" s="704"/>
      <c r="F2188" s="661"/>
      <c r="G2188" s="665"/>
      <c r="H2188" s="664">
        <f>SUM(H2189:H2193)</f>
        <v>340.933081448</v>
      </c>
      <c r="I2188" s="380">
        <f>VLOOKUP(D2188,'ENSAIOS DE ORÇAMENTO'!$C$3:$L$79,8,FALSE)</f>
        <v>2610.5285439999998</v>
      </c>
      <c r="J2188" s="631">
        <f t="shared" ref="J2188" si="631">IF(ISBLANK(I2188),"",SUM(H2188:I2188))</f>
        <v>2951.4616254479997</v>
      </c>
      <c r="K2188" s="593">
        <f t="shared" si="628"/>
        <v>3740.98</v>
      </c>
      <c r="L2188" s="594" t="s">
        <v>21</v>
      </c>
      <c r="M2188" s="30"/>
      <c r="N2188" s="30">
        <v>3740.98</v>
      </c>
      <c r="O2188" s="287">
        <f t="shared" si="614"/>
        <v>0</v>
      </c>
      <c r="P2188" s="287">
        <f t="shared" si="615"/>
        <v>0</v>
      </c>
      <c r="Q2188" s="288"/>
      <c r="S2188" s="378" t="str">
        <f t="shared" si="625"/>
        <v/>
      </c>
    </row>
    <row r="2189" spans="2:19" hidden="1" x14ac:dyDescent="0.2">
      <c r="B2189" s="771" t="s">
        <v>168</v>
      </c>
      <c r="C2189" s="596"/>
      <c r="D2189" s="383" t="s">
        <v>213</v>
      </c>
      <c r="E2189" s="704"/>
      <c r="F2189" s="661">
        <v>500</v>
      </c>
      <c r="G2189" s="665">
        <f>VLOOKUP(D2188,'ENSAIOS DE ORÇAMENTO'!$C$3:$L$79,4,FALSE)</f>
        <v>0.2047668</v>
      </c>
      <c r="H2189" s="664">
        <f>IF(F2189&lt;=30,(0.75*F2189+6.29)*G2189,((0.75*30+6.29)+0.62*(F2189-30))*G2189)</f>
        <v>65.564281691999994</v>
      </c>
      <c r="I2189" s="380"/>
      <c r="J2189" s="631"/>
      <c r="K2189" s="593">
        <f t="shared" si="628"/>
        <v>0</v>
      </c>
      <c r="L2189" s="594"/>
      <c r="M2189" s="600"/>
      <c r="N2189" s="600">
        <v>0</v>
      </c>
      <c r="O2189" s="287">
        <f t="shared" si="614"/>
        <v>0</v>
      </c>
      <c r="P2189" s="287">
        <f t="shared" si="615"/>
        <v>0</v>
      </c>
      <c r="Q2189" s="288"/>
      <c r="R2189" s="311" t="str">
        <f>IF(P2188&gt;0,"xy","")</f>
        <v/>
      </c>
      <c r="S2189" s="378" t="str">
        <f t="shared" si="625"/>
        <v/>
      </c>
    </row>
    <row r="2190" spans="2:19" hidden="1" x14ac:dyDescent="0.2">
      <c r="B2190" s="771" t="s">
        <v>168</v>
      </c>
      <c r="C2190" s="596"/>
      <c r="D2190" s="383" t="s">
        <v>249</v>
      </c>
      <c r="E2190" s="704"/>
      <c r="F2190" s="661">
        <v>180</v>
      </c>
      <c r="G2190" s="665">
        <f>VLOOKUP(D2188,'ENSAIOS DE ORÇAMENTO'!$C$3:$L$79,5,FALSE)</f>
        <v>1.1293030000000002</v>
      </c>
      <c r="H2190" s="663">
        <f t="shared" ref="H2190" si="632">IF(F2190&lt;=30,(1.05*F2190+2.18)*G2190,((1.05*30+2.18)+0.87*(F2190-30))*G2190)</f>
        <v>185.40896654000002</v>
      </c>
      <c r="I2190" s="380"/>
      <c r="J2190" s="631"/>
      <c r="K2190" s="593">
        <f t="shared" si="628"/>
        <v>0</v>
      </c>
      <c r="L2190" s="594"/>
      <c r="M2190" s="600"/>
      <c r="N2190" s="600">
        <v>0</v>
      </c>
      <c r="O2190" s="287">
        <f t="shared" si="614"/>
        <v>0</v>
      </c>
      <c r="P2190" s="287">
        <f t="shared" si="615"/>
        <v>0</v>
      </c>
      <c r="Q2190" s="288"/>
      <c r="R2190" s="311" t="str">
        <f>IF(P2188&gt;0,"xy","")</f>
        <v/>
      </c>
      <c r="S2190" s="378" t="str">
        <f t="shared" si="625"/>
        <v/>
      </c>
    </row>
    <row r="2191" spans="2:19" hidden="1" x14ac:dyDescent="0.2">
      <c r="B2191" s="771" t="s">
        <v>168</v>
      </c>
      <c r="C2191" s="596"/>
      <c r="D2191" s="383" t="s">
        <v>253</v>
      </c>
      <c r="E2191" s="704"/>
      <c r="F2191" s="661">
        <v>20</v>
      </c>
      <c r="G2191" s="665">
        <f>VLOOKUP(D2188,'ENSAIOS DE ORÇAMENTO'!$C$3:$L$79,6,FALSE)</f>
        <v>0.38805600000000001</v>
      </c>
      <c r="H2191" s="663">
        <f>IF(F2191&lt;=30,(1.05*F2191+2.18)*G2191,((1.05*30+2.18)+0.87*(F2191-30))*G2191)</f>
        <v>8.9951380800000003</v>
      </c>
      <c r="I2191" s="380"/>
      <c r="J2191" s="631"/>
      <c r="K2191" s="593">
        <f t="shared" si="628"/>
        <v>0</v>
      </c>
      <c r="L2191" s="594"/>
      <c r="M2191" s="600"/>
      <c r="N2191" s="600">
        <v>0</v>
      </c>
      <c r="O2191" s="287">
        <f t="shared" si="614"/>
        <v>0</v>
      </c>
      <c r="P2191" s="287">
        <f t="shared" si="615"/>
        <v>0</v>
      </c>
      <c r="Q2191" s="288"/>
      <c r="R2191" s="243" t="str">
        <f>IF(P2188&gt;0,"xy","")</f>
        <v/>
      </c>
      <c r="S2191" s="378" t="str">
        <f t="shared" si="625"/>
        <v/>
      </c>
    </row>
    <row r="2192" spans="2:19" hidden="1" x14ac:dyDescent="0.2">
      <c r="B2192" s="771" t="s">
        <v>168</v>
      </c>
      <c r="C2192" s="596"/>
      <c r="D2192" s="383" t="s">
        <v>402</v>
      </c>
      <c r="E2192" s="704"/>
      <c r="F2192" s="661">
        <v>30</v>
      </c>
      <c r="G2192" s="665">
        <f>VLOOKUP(D2188,'ENSAIOS DE ORÇAMENTO'!$C$3:$L$79,3,FALSE)</f>
        <v>1.6716959999999998</v>
      </c>
      <c r="H2192" s="663">
        <f>IF(F2192&lt;=30,(1.05*F2192+2.18)*G2192,((1.05*30+2.18)+0.87*(F2192-30))*G2192)</f>
        <v>56.302721279999993</v>
      </c>
      <c r="I2192" s="380"/>
      <c r="J2192" s="631"/>
      <c r="K2192" s="593">
        <f t="shared" si="628"/>
        <v>0</v>
      </c>
      <c r="L2192" s="594"/>
      <c r="M2192" s="600"/>
      <c r="N2192" s="600">
        <v>0</v>
      </c>
      <c r="O2192" s="287">
        <f t="shared" si="614"/>
        <v>0</v>
      </c>
      <c r="P2192" s="287">
        <f t="shared" si="615"/>
        <v>0</v>
      </c>
      <c r="Q2192" s="288"/>
      <c r="R2192" s="311" t="str">
        <f>IF(P2188&gt;0,"xy","")</f>
        <v/>
      </c>
      <c r="S2192" s="378" t="str">
        <f t="shared" si="625"/>
        <v/>
      </c>
    </row>
    <row r="2193" spans="2:19" hidden="1" x14ac:dyDescent="0.2">
      <c r="B2193" s="771" t="s">
        <v>168</v>
      </c>
      <c r="C2193" s="596"/>
      <c r="D2193" s="383" t="s">
        <v>403</v>
      </c>
      <c r="E2193" s="704"/>
      <c r="F2193" s="661">
        <v>500</v>
      </c>
      <c r="G2193" s="665">
        <f>VLOOKUP(D2188,'ENSAIOS DE ORÇAMENTO'!$C$3:$L$79,10,FALSE)</f>
        <v>5.5723200000000001E-2</v>
      </c>
      <c r="H2193" s="663">
        <f>IF(F2193&lt;=30,(1.05*F2193+2.18)*G2193,((1.05*30+2.18)+0.87*(F2193-30))*G2193)</f>
        <v>24.661973855999999</v>
      </c>
      <c r="I2193" s="380"/>
      <c r="J2193" s="631"/>
      <c r="K2193" s="593">
        <f t="shared" si="628"/>
        <v>0</v>
      </c>
      <c r="L2193" s="594"/>
      <c r="M2193" s="600"/>
      <c r="N2193" s="600">
        <v>0</v>
      </c>
      <c r="O2193" s="287">
        <f t="shared" si="614"/>
        <v>0</v>
      </c>
      <c r="P2193" s="287">
        <f t="shared" si="615"/>
        <v>0</v>
      </c>
      <c r="Q2193" s="288"/>
      <c r="R2193" s="311" t="str">
        <f>IF(P2188&gt;0,"xy","")</f>
        <v/>
      </c>
      <c r="S2193" s="378" t="str">
        <f t="shared" si="625"/>
        <v/>
      </c>
    </row>
    <row r="2194" spans="2:19" hidden="1" x14ac:dyDescent="0.2">
      <c r="B2194" s="771" t="s">
        <v>33</v>
      </c>
      <c r="C2194" s="596" t="s">
        <v>207</v>
      </c>
      <c r="D2194" s="383" t="s">
        <v>102</v>
      </c>
      <c r="E2194" s="704"/>
      <c r="F2194" s="661"/>
      <c r="G2194" s="665"/>
      <c r="H2194" s="664">
        <f>SUM(H2195:H2199)</f>
        <v>402.59242652</v>
      </c>
      <c r="I2194" s="380">
        <f>VLOOKUP(D2194,'ENSAIOS DE ORÇAMENTO'!$C$3:$L$79,8,FALSE)</f>
        <v>2875.3125439999999</v>
      </c>
      <c r="J2194" s="631">
        <f t="shared" ref="J2194" si="633">IF(ISBLANK(I2194),"",SUM(H2194:I2194))</f>
        <v>3277.90497052</v>
      </c>
      <c r="K2194" s="593">
        <f t="shared" si="628"/>
        <v>4154.74</v>
      </c>
      <c r="L2194" s="594" t="s">
        <v>21</v>
      </c>
      <c r="M2194" s="30"/>
      <c r="N2194" s="30">
        <v>4154.74</v>
      </c>
      <c r="O2194" s="287">
        <f t="shared" si="614"/>
        <v>0</v>
      </c>
      <c r="P2194" s="287">
        <f t="shared" si="615"/>
        <v>0</v>
      </c>
      <c r="Q2194" s="288"/>
      <c r="S2194" s="378" t="str">
        <f t="shared" si="625"/>
        <v/>
      </c>
    </row>
    <row r="2195" spans="2:19" hidden="1" x14ac:dyDescent="0.2">
      <c r="B2195" s="771" t="s">
        <v>168</v>
      </c>
      <c r="C2195" s="596"/>
      <c r="D2195" s="383" t="s">
        <v>213</v>
      </c>
      <c r="E2195" s="704"/>
      <c r="F2195" s="661">
        <v>500</v>
      </c>
      <c r="G2195" s="665">
        <f>VLOOKUP(D2194,'ENSAIOS DE ORÇAMENTO'!$C$3:$L$79,4,FALSE)</f>
        <v>0.23381399999999999</v>
      </c>
      <c r="H2195" s="664">
        <f>IF(F2195&lt;=30,(0.75*F2195+6.29)*G2195,((0.75*30+6.29)+0.62*(F2195-30))*G2195)</f>
        <v>74.864904659999993</v>
      </c>
      <c r="I2195" s="380"/>
      <c r="J2195" s="631"/>
      <c r="K2195" s="593">
        <f t="shared" si="628"/>
        <v>0</v>
      </c>
      <c r="L2195" s="594"/>
      <c r="M2195" s="600"/>
      <c r="N2195" s="600">
        <v>0</v>
      </c>
      <c r="O2195" s="287">
        <f t="shared" si="614"/>
        <v>0</v>
      </c>
      <c r="P2195" s="287">
        <f t="shared" si="615"/>
        <v>0</v>
      </c>
      <c r="Q2195" s="288"/>
      <c r="R2195" s="311" t="str">
        <f>IF(P2194&gt;0,"xy","")</f>
        <v/>
      </c>
      <c r="S2195" s="378" t="str">
        <f t="shared" si="625"/>
        <v/>
      </c>
    </row>
    <row r="2196" spans="2:19" hidden="1" x14ac:dyDescent="0.2">
      <c r="B2196" s="771" t="s">
        <v>168</v>
      </c>
      <c r="C2196" s="596"/>
      <c r="D2196" s="383" t="s">
        <v>249</v>
      </c>
      <c r="E2196" s="704"/>
      <c r="F2196" s="661">
        <v>180</v>
      </c>
      <c r="G2196" s="665">
        <f>VLOOKUP(D2194,'ENSAIOS DE ORÇAMENTO'!$C$3:$L$79,5,FALSE)</f>
        <v>1.324927</v>
      </c>
      <c r="H2196" s="663">
        <f t="shared" ref="H2196" si="634">IF(F2196&lt;=30,(1.05*F2196+2.18)*G2196,((1.05*30+2.18)+0.87*(F2196-30))*G2196)</f>
        <v>217.52651485999999</v>
      </c>
      <c r="I2196" s="380"/>
      <c r="J2196" s="631"/>
      <c r="K2196" s="593">
        <f t="shared" si="628"/>
        <v>0</v>
      </c>
      <c r="L2196" s="594"/>
      <c r="M2196" s="600"/>
      <c r="N2196" s="600">
        <v>0</v>
      </c>
      <c r="O2196" s="287">
        <f t="shared" si="614"/>
        <v>0</v>
      </c>
      <c r="P2196" s="287">
        <f t="shared" si="615"/>
        <v>0</v>
      </c>
      <c r="Q2196" s="288"/>
      <c r="R2196" s="311" t="str">
        <f>IF(P2194&gt;0,"xy","")</f>
        <v/>
      </c>
      <c r="S2196" s="378" t="str">
        <f t="shared" si="625"/>
        <v/>
      </c>
    </row>
    <row r="2197" spans="2:19" hidden="1" x14ac:dyDescent="0.2">
      <c r="B2197" s="771" t="s">
        <v>168</v>
      </c>
      <c r="C2197" s="596"/>
      <c r="D2197" s="383" t="s">
        <v>253</v>
      </c>
      <c r="E2197" s="704"/>
      <c r="F2197" s="661">
        <v>20</v>
      </c>
      <c r="G2197" s="665">
        <f>VLOOKUP(D2194,'ENSAIOS DE ORÇAMENTO'!$C$3:$L$79,6,FALSE)</f>
        <v>0.38805600000000001</v>
      </c>
      <c r="H2197" s="663">
        <f>IF(F2197&lt;=30,(1.05*F2197+2.18)*G2197,((1.05*30+2.18)+0.87*(F2197-30))*G2197)</f>
        <v>8.9951380800000003</v>
      </c>
      <c r="I2197" s="380"/>
      <c r="J2197" s="631"/>
      <c r="K2197" s="593">
        <f t="shared" si="628"/>
        <v>0</v>
      </c>
      <c r="L2197" s="594"/>
      <c r="M2197" s="600"/>
      <c r="N2197" s="600">
        <v>0</v>
      </c>
      <c r="O2197" s="287">
        <f t="shared" si="614"/>
        <v>0</v>
      </c>
      <c r="P2197" s="287">
        <f t="shared" si="615"/>
        <v>0</v>
      </c>
      <c r="Q2197" s="288"/>
      <c r="R2197" s="243" t="str">
        <f>IF(P2194&gt;0,"xy","")</f>
        <v/>
      </c>
      <c r="S2197" s="378" t="str">
        <f t="shared" si="625"/>
        <v/>
      </c>
    </row>
    <row r="2198" spans="2:19" hidden="1" x14ac:dyDescent="0.2">
      <c r="B2198" s="771" t="s">
        <v>168</v>
      </c>
      <c r="C2198" s="596"/>
      <c r="D2198" s="383" t="s">
        <v>402</v>
      </c>
      <c r="E2198" s="704"/>
      <c r="F2198" s="661">
        <v>30</v>
      </c>
      <c r="G2198" s="665">
        <f>VLOOKUP(D2194,'ENSAIOS DE ORÇAMENTO'!$C$3:$L$79,3,FALSE)</f>
        <v>2.0896199999999996</v>
      </c>
      <c r="H2198" s="663">
        <f>IF(F2198&lt;=30,(1.05*F2198+2.18)*G2198,((1.05*30+2.18)+0.87*(F2198-30))*G2198)</f>
        <v>70.378401599999989</v>
      </c>
      <c r="I2198" s="380"/>
      <c r="J2198" s="631"/>
      <c r="K2198" s="593">
        <f t="shared" si="628"/>
        <v>0</v>
      </c>
      <c r="L2198" s="594"/>
      <c r="M2198" s="600"/>
      <c r="N2198" s="600">
        <v>0</v>
      </c>
      <c r="O2198" s="287">
        <f t="shared" si="614"/>
        <v>0</v>
      </c>
      <c r="P2198" s="287">
        <f t="shared" si="615"/>
        <v>0</v>
      </c>
      <c r="Q2198" s="288"/>
      <c r="R2198" s="311" t="str">
        <f>IF(P2194&gt;0,"xy","")</f>
        <v/>
      </c>
      <c r="S2198" s="378" t="str">
        <f t="shared" si="625"/>
        <v/>
      </c>
    </row>
    <row r="2199" spans="2:19" hidden="1" x14ac:dyDescent="0.2">
      <c r="B2199" s="771" t="s">
        <v>168</v>
      </c>
      <c r="C2199" s="596"/>
      <c r="D2199" s="383" t="s">
        <v>403</v>
      </c>
      <c r="E2199" s="704"/>
      <c r="F2199" s="661">
        <v>500</v>
      </c>
      <c r="G2199" s="665">
        <f>VLOOKUP(D2194,'ENSAIOS DE ORÇAMENTO'!$C$3:$L$79,10,FALSE)</f>
        <v>6.9653999999999994E-2</v>
      </c>
      <c r="H2199" s="663">
        <f>IF(F2199&lt;=30,(1.05*F2199+2.18)*G2199,((1.05*30+2.18)+0.87*(F2199-30))*G2199)</f>
        <v>30.827467319999997</v>
      </c>
      <c r="I2199" s="380"/>
      <c r="J2199" s="631"/>
      <c r="K2199" s="593">
        <f t="shared" si="628"/>
        <v>0</v>
      </c>
      <c r="L2199" s="594"/>
      <c r="M2199" s="600"/>
      <c r="N2199" s="600">
        <v>0</v>
      </c>
      <c r="O2199" s="287">
        <f t="shared" si="614"/>
        <v>0</v>
      </c>
      <c r="P2199" s="287">
        <f t="shared" si="615"/>
        <v>0</v>
      </c>
      <c r="Q2199" s="288"/>
      <c r="R2199" s="311" t="str">
        <f>IF(P2194&gt;0,"xy","")</f>
        <v/>
      </c>
      <c r="S2199" s="378" t="str">
        <f t="shared" si="625"/>
        <v/>
      </c>
    </row>
    <row r="2200" spans="2:19" hidden="1" x14ac:dyDescent="0.2">
      <c r="B2200" s="771" t="s">
        <v>117</v>
      </c>
      <c r="C2200" s="596" t="s">
        <v>207</v>
      </c>
      <c r="D2200" s="383" t="s">
        <v>103</v>
      </c>
      <c r="E2200" s="704"/>
      <c r="F2200" s="661"/>
      <c r="G2200" s="665"/>
      <c r="H2200" s="664">
        <f>SUM(H2201:H2205)</f>
        <v>504.56749721600011</v>
      </c>
      <c r="I2200" s="380">
        <f>VLOOKUP(D2200,'ENSAIOS DE ORÇAMENTO'!$C$3:$L$79,8,FALSE)</f>
        <v>3313.2245439999997</v>
      </c>
      <c r="J2200" s="631">
        <f>IF(ISBLANK(I2200),"",SUM(H2200:I2200))</f>
        <v>3817.7920412159997</v>
      </c>
      <c r="K2200" s="593">
        <f t="shared" si="628"/>
        <v>4839.05</v>
      </c>
      <c r="L2200" s="594" t="s">
        <v>21</v>
      </c>
      <c r="M2200" s="30"/>
      <c r="N2200" s="30">
        <v>4839.05</v>
      </c>
      <c r="O2200" s="287">
        <f t="shared" si="614"/>
        <v>0</v>
      </c>
      <c r="P2200" s="287">
        <f t="shared" si="615"/>
        <v>0</v>
      </c>
      <c r="Q2200" s="288"/>
      <c r="S2200" s="378" t="str">
        <f t="shared" si="625"/>
        <v/>
      </c>
    </row>
    <row r="2201" spans="2:19" hidden="1" x14ac:dyDescent="0.2">
      <c r="B2201" s="771" t="s">
        <v>168</v>
      </c>
      <c r="C2201" s="596"/>
      <c r="D2201" s="383" t="s">
        <v>213</v>
      </c>
      <c r="E2201" s="704"/>
      <c r="F2201" s="661">
        <v>500</v>
      </c>
      <c r="G2201" s="665">
        <f>VLOOKUP(D2200,'ENSAIOS DE ORÇAMENTO'!$C$3:$L$79,4,FALSE)</f>
        <v>0.28185359999999998</v>
      </c>
      <c r="H2201" s="664">
        <f>IF(F2201&lt;=30,(0.75*F2201+6.29)*G2201,((0.75*30+6.29)+0.62*(F2201-30))*G2201)</f>
        <v>90.246704183999995</v>
      </c>
      <c r="I2201" s="380"/>
      <c r="J2201" s="631"/>
      <c r="K2201" s="593">
        <f t="shared" si="628"/>
        <v>0</v>
      </c>
      <c r="L2201" s="594"/>
      <c r="M2201" s="600"/>
      <c r="N2201" s="600">
        <v>0</v>
      </c>
      <c r="O2201" s="287">
        <f t="shared" si="614"/>
        <v>0</v>
      </c>
      <c r="P2201" s="287">
        <f t="shared" si="615"/>
        <v>0</v>
      </c>
      <c r="Q2201" s="288"/>
      <c r="R2201" s="311" t="str">
        <f>IF(P2200&gt;0,"xy","")</f>
        <v/>
      </c>
      <c r="S2201" s="378" t="str">
        <f t="shared" si="625"/>
        <v/>
      </c>
    </row>
    <row r="2202" spans="2:19" hidden="1" x14ac:dyDescent="0.2">
      <c r="B2202" s="771" t="s">
        <v>168</v>
      </c>
      <c r="C2202" s="596"/>
      <c r="D2202" s="383" t="s">
        <v>249</v>
      </c>
      <c r="E2202" s="704"/>
      <c r="F2202" s="661">
        <v>180</v>
      </c>
      <c r="G2202" s="665">
        <f>VLOOKUP(D2200,'ENSAIOS DE ORÇAMENTO'!$C$3:$L$79,5,FALSE)</f>
        <v>1.6484590000000001</v>
      </c>
      <c r="H2202" s="663">
        <f t="shared" ref="H2202" si="635">IF(F2202&lt;=30,(1.05*F2202+2.18)*G2202,((1.05*30+2.18)+0.87*(F2202-30))*G2202)</f>
        <v>270.64399862000005</v>
      </c>
      <c r="I2202" s="380"/>
      <c r="J2202" s="631"/>
      <c r="K2202" s="593">
        <f t="shared" si="628"/>
        <v>0</v>
      </c>
      <c r="L2202" s="594"/>
      <c r="M2202" s="600"/>
      <c r="N2202" s="600">
        <v>0</v>
      </c>
      <c r="O2202" s="287">
        <f t="shared" si="614"/>
        <v>0</v>
      </c>
      <c r="P2202" s="287">
        <f t="shared" si="615"/>
        <v>0</v>
      </c>
      <c r="Q2202" s="288"/>
      <c r="R2202" s="311" t="str">
        <f>IF(P2200&gt;0,"xy","")</f>
        <v/>
      </c>
      <c r="S2202" s="378" t="str">
        <f t="shared" si="625"/>
        <v/>
      </c>
    </row>
    <row r="2203" spans="2:19" hidden="1" x14ac:dyDescent="0.2">
      <c r="B2203" s="771" t="s">
        <v>168</v>
      </c>
      <c r="C2203" s="596"/>
      <c r="D2203" s="383" t="s">
        <v>253</v>
      </c>
      <c r="E2203" s="704"/>
      <c r="F2203" s="661">
        <v>20</v>
      </c>
      <c r="G2203" s="665">
        <f>VLOOKUP(D2200,'ENSAIOS DE ORÇAMENTO'!$C$3:$L$79,6,FALSE)</f>
        <v>0.38805600000000001</v>
      </c>
      <c r="H2203" s="663">
        <f>IF(F2203&lt;=30,(1.05*F2203+2.18)*G2203,((1.05*30+2.18)+0.87*(F2203-30))*G2203)</f>
        <v>8.9951380800000003</v>
      </c>
      <c r="I2203" s="380"/>
      <c r="J2203" s="631"/>
      <c r="K2203" s="593">
        <f t="shared" si="628"/>
        <v>0</v>
      </c>
      <c r="L2203" s="594"/>
      <c r="M2203" s="600"/>
      <c r="N2203" s="600">
        <v>0</v>
      </c>
      <c r="O2203" s="287">
        <f t="shared" si="614"/>
        <v>0</v>
      </c>
      <c r="P2203" s="287">
        <f t="shared" si="615"/>
        <v>0</v>
      </c>
      <c r="Q2203" s="288"/>
      <c r="R2203" s="243" t="str">
        <f>IF(P2200&gt;0,"xy","")</f>
        <v/>
      </c>
      <c r="S2203" s="378" t="str">
        <f t="shared" si="625"/>
        <v/>
      </c>
    </row>
    <row r="2204" spans="2:19" hidden="1" x14ac:dyDescent="0.2">
      <c r="B2204" s="771" t="s">
        <v>168</v>
      </c>
      <c r="C2204" s="596"/>
      <c r="D2204" s="383" t="s">
        <v>402</v>
      </c>
      <c r="E2204" s="704"/>
      <c r="F2204" s="661">
        <v>30</v>
      </c>
      <c r="G2204" s="665">
        <f>VLOOKUP(D2200,'ENSAIOS DE ORÇAMENTO'!$C$3:$L$79,3,FALSE)</f>
        <v>2.780802</v>
      </c>
      <c r="H2204" s="663">
        <f>IF(F2204&lt;=30,(1.05*F2204+2.18)*G2204,((1.05*30+2.18)+0.87*(F2204-30))*G2204)</f>
        <v>93.657411359999998</v>
      </c>
      <c r="I2204" s="380"/>
      <c r="J2204" s="631"/>
      <c r="K2204" s="593">
        <f t="shared" si="628"/>
        <v>0</v>
      </c>
      <c r="L2204" s="594"/>
      <c r="M2204" s="600"/>
      <c r="N2204" s="600">
        <v>0</v>
      </c>
      <c r="O2204" s="287">
        <f t="shared" si="614"/>
        <v>0</v>
      </c>
      <c r="P2204" s="287">
        <f t="shared" si="615"/>
        <v>0</v>
      </c>
      <c r="Q2204" s="288"/>
      <c r="R2204" s="311" t="str">
        <f>IF(P2200&gt;0,"xy","")</f>
        <v/>
      </c>
      <c r="S2204" s="378" t="str">
        <f t="shared" si="625"/>
        <v/>
      </c>
    </row>
    <row r="2205" spans="2:19" hidden="1" x14ac:dyDescent="0.2">
      <c r="B2205" s="771" t="s">
        <v>168</v>
      </c>
      <c r="C2205" s="596"/>
      <c r="D2205" s="383" t="s">
        <v>403</v>
      </c>
      <c r="E2205" s="704"/>
      <c r="F2205" s="661">
        <v>500</v>
      </c>
      <c r="G2205" s="665">
        <f>VLOOKUP(D2200,'ENSAIOS DE ORÇAMENTO'!$C$3:$L$79,10,FALSE)</f>
        <v>9.2693399999999995E-2</v>
      </c>
      <c r="H2205" s="663">
        <f>IF(F2205&lt;=30,(1.05*F2205+2.18)*G2205,((1.05*30+2.18)+0.87*(F2205-30))*G2205)</f>
        <v>41.024244971999998</v>
      </c>
      <c r="I2205" s="380"/>
      <c r="J2205" s="631"/>
      <c r="K2205" s="593">
        <f t="shared" si="628"/>
        <v>0</v>
      </c>
      <c r="L2205" s="594"/>
      <c r="M2205" s="600"/>
      <c r="N2205" s="600">
        <v>0</v>
      </c>
      <c r="O2205" s="287">
        <f t="shared" si="614"/>
        <v>0</v>
      </c>
      <c r="P2205" s="287">
        <f t="shared" si="615"/>
        <v>0</v>
      </c>
      <c r="Q2205" s="288"/>
      <c r="R2205" s="311" t="str">
        <f>IF(P2200&gt;0,"xy","")</f>
        <v/>
      </c>
      <c r="S2205" s="378" t="str">
        <f t="shared" si="625"/>
        <v/>
      </c>
    </row>
    <row r="2206" spans="2:19" hidden="1" x14ac:dyDescent="0.2">
      <c r="B2206" s="771" t="s">
        <v>118</v>
      </c>
      <c r="C2206" s="596" t="s">
        <v>207</v>
      </c>
      <c r="D2206" s="383" t="s">
        <v>104</v>
      </c>
      <c r="E2206" s="704"/>
      <c r="F2206" s="661"/>
      <c r="G2206" s="665"/>
      <c r="H2206" s="664">
        <f>SUM(H2207:H2211)</f>
        <v>608.914081184</v>
      </c>
      <c r="I2206" s="380">
        <f>VLOOKUP(D2206,'ENSAIOS DE ORÇAMENTO'!$C$3:$L$79,8,FALSE)</f>
        <v>3761.3205439999988</v>
      </c>
      <c r="J2206" s="631">
        <f>IF(ISBLANK(I2206),"",SUM(H2206:I2206))</f>
        <v>4370.234625183999</v>
      </c>
      <c r="K2206" s="593">
        <f t="shared" si="628"/>
        <v>5539.27</v>
      </c>
      <c r="L2206" s="594" t="s">
        <v>21</v>
      </c>
      <c r="M2206" s="30"/>
      <c r="N2206" s="30">
        <v>5539.27</v>
      </c>
      <c r="O2206" s="287">
        <f t="shared" si="614"/>
        <v>0</v>
      </c>
      <c r="P2206" s="287">
        <f t="shared" si="615"/>
        <v>0</v>
      </c>
      <c r="Q2206" s="288"/>
      <c r="S2206" s="378" t="str">
        <f t="shared" si="625"/>
        <v/>
      </c>
    </row>
    <row r="2207" spans="2:19" hidden="1" x14ac:dyDescent="0.2">
      <c r="B2207" s="771" t="s">
        <v>168</v>
      </c>
      <c r="C2207" s="596"/>
      <c r="D2207" s="383" t="s">
        <v>213</v>
      </c>
      <c r="E2207" s="704"/>
      <c r="F2207" s="661">
        <v>500</v>
      </c>
      <c r="G2207" s="665">
        <f>VLOOKUP(D2206,'ENSAIOS DE ORÇAMENTO'!$C$3:$L$79,4,FALSE)</f>
        <v>0.33101039999999993</v>
      </c>
      <c r="H2207" s="664">
        <f>IF(F2207&lt;=30,(0.75*F2207+6.29)*G2207,((0.75*30+6.29)+0.62*(F2207-30))*G2207)</f>
        <v>105.98621997599997</v>
      </c>
      <c r="I2207" s="380"/>
      <c r="J2207" s="631"/>
      <c r="K2207" s="593">
        <f t="shared" si="628"/>
        <v>0</v>
      </c>
      <c r="L2207" s="594"/>
      <c r="M2207" s="600"/>
      <c r="N2207" s="600">
        <v>0</v>
      </c>
      <c r="O2207" s="287">
        <f t="shared" si="614"/>
        <v>0</v>
      </c>
      <c r="P2207" s="287">
        <f t="shared" si="615"/>
        <v>0</v>
      </c>
      <c r="Q2207" s="288"/>
      <c r="R2207" s="311" t="str">
        <f>IF(P2206&gt;0,"xy","")</f>
        <v/>
      </c>
      <c r="S2207" s="378" t="str">
        <f t="shared" si="625"/>
        <v/>
      </c>
    </row>
    <row r="2208" spans="2:19" hidden="1" x14ac:dyDescent="0.2">
      <c r="B2208" s="771" t="s">
        <v>168</v>
      </c>
      <c r="C2208" s="596"/>
      <c r="D2208" s="383" t="s">
        <v>249</v>
      </c>
      <c r="E2208" s="704"/>
      <c r="F2208" s="661">
        <v>180</v>
      </c>
      <c r="G2208" s="665">
        <f>VLOOKUP(D2206,'ENSAIOS DE ORÇAMENTO'!$C$3:$L$79,5,FALSE)</f>
        <v>1.9795149999999999</v>
      </c>
      <c r="H2208" s="663">
        <f t="shared" ref="H2208" si="636">IF(F2208&lt;=30,(1.05*F2208+2.18)*G2208,((1.05*30+2.18)+0.87*(F2208-30))*G2208)</f>
        <v>324.99677270000001</v>
      </c>
      <c r="I2208" s="380"/>
      <c r="J2208" s="631"/>
      <c r="K2208" s="593">
        <f t="shared" si="628"/>
        <v>0</v>
      </c>
      <c r="L2208" s="594"/>
      <c r="M2208" s="600"/>
      <c r="N2208" s="600">
        <v>0</v>
      </c>
      <c r="O2208" s="287">
        <f t="shared" si="614"/>
        <v>0</v>
      </c>
      <c r="P2208" s="287">
        <f t="shared" si="615"/>
        <v>0</v>
      </c>
      <c r="Q2208" s="288"/>
      <c r="R2208" s="311" t="str">
        <f>IF(P2206&gt;0,"xy","")</f>
        <v/>
      </c>
      <c r="S2208" s="378" t="str">
        <f t="shared" si="625"/>
        <v/>
      </c>
    </row>
    <row r="2209" spans="2:19" hidden="1" x14ac:dyDescent="0.2">
      <c r="B2209" s="771" t="s">
        <v>168</v>
      </c>
      <c r="C2209" s="596"/>
      <c r="D2209" s="383" t="s">
        <v>253</v>
      </c>
      <c r="E2209" s="704"/>
      <c r="F2209" s="661">
        <v>20</v>
      </c>
      <c r="G2209" s="665">
        <f>VLOOKUP(D2206,'ENSAIOS DE ORÇAMENTO'!$C$3:$L$79,6,FALSE)</f>
        <v>0.38805600000000001</v>
      </c>
      <c r="H2209" s="663">
        <f>IF(F2209&lt;=30,(1.05*F2209+2.18)*G2209,((1.05*30+2.18)+0.87*(F2209-30))*G2209)</f>
        <v>8.9951380800000003</v>
      </c>
      <c r="I2209" s="380"/>
      <c r="J2209" s="631"/>
      <c r="K2209" s="593">
        <f t="shared" si="628"/>
        <v>0</v>
      </c>
      <c r="L2209" s="594"/>
      <c r="M2209" s="600"/>
      <c r="N2209" s="600">
        <v>0</v>
      </c>
      <c r="O2209" s="287">
        <f t="shared" si="614"/>
        <v>0</v>
      </c>
      <c r="P2209" s="287">
        <f t="shared" si="615"/>
        <v>0</v>
      </c>
      <c r="Q2209" s="288"/>
      <c r="R2209" s="243" t="str">
        <f>IF(P2206&gt;0,"xy","")</f>
        <v/>
      </c>
      <c r="S2209" s="378" t="str">
        <f t="shared" si="625"/>
        <v/>
      </c>
    </row>
    <row r="2210" spans="2:19" hidden="1" x14ac:dyDescent="0.2">
      <c r="B2210" s="771" t="s">
        <v>168</v>
      </c>
      <c r="C2210" s="596"/>
      <c r="D2210" s="383" t="s">
        <v>402</v>
      </c>
      <c r="E2210" s="704"/>
      <c r="F2210" s="661">
        <v>30</v>
      </c>
      <c r="G2210" s="665">
        <f>VLOOKUP(D2206,'ENSAIOS DE ORÇAMENTO'!$C$3:$L$79,3,FALSE)</f>
        <v>3.4880579999999992</v>
      </c>
      <c r="H2210" s="663">
        <f>IF(F2210&lt;=30,(1.05*F2210+2.18)*G2210,((1.05*30+2.18)+0.87*(F2210-30))*G2210)</f>
        <v>117.47779343999997</v>
      </c>
      <c r="I2210" s="380"/>
      <c r="J2210" s="631"/>
      <c r="K2210" s="593">
        <f t="shared" si="628"/>
        <v>0</v>
      </c>
      <c r="L2210" s="594"/>
      <c r="M2210" s="600"/>
      <c r="N2210" s="600">
        <v>0</v>
      </c>
      <c r="O2210" s="287">
        <f t="shared" si="614"/>
        <v>0</v>
      </c>
      <c r="P2210" s="287">
        <f t="shared" si="615"/>
        <v>0</v>
      </c>
      <c r="Q2210" s="288"/>
      <c r="R2210" s="311" t="str">
        <f>IF(P2206&gt;0,"xy","")</f>
        <v/>
      </c>
      <c r="S2210" s="378" t="str">
        <f t="shared" si="625"/>
        <v/>
      </c>
    </row>
    <row r="2211" spans="2:19" hidden="1" x14ac:dyDescent="0.2">
      <c r="B2211" s="771" t="s">
        <v>168</v>
      </c>
      <c r="C2211" s="596"/>
      <c r="D2211" s="383" t="s">
        <v>403</v>
      </c>
      <c r="E2211" s="704"/>
      <c r="F2211" s="661">
        <v>500</v>
      </c>
      <c r="G2211" s="665">
        <f>VLOOKUP(D2206,'ENSAIOS DE ORÇAMENTO'!$C$3:$L$79,10,FALSE)</f>
        <v>0.11626859999999997</v>
      </c>
      <c r="H2211" s="663">
        <f>IF(F2211&lt;=30,(1.05*F2211+2.18)*G2211,((1.05*30+2.18)+0.87*(F2211-30))*G2211)</f>
        <v>51.458156987999985</v>
      </c>
      <c r="I2211" s="380"/>
      <c r="J2211" s="631"/>
      <c r="K2211" s="593">
        <f t="shared" si="628"/>
        <v>0</v>
      </c>
      <c r="L2211" s="594"/>
      <c r="M2211" s="600"/>
      <c r="N2211" s="600">
        <v>0</v>
      </c>
      <c r="O2211" s="287">
        <f t="shared" si="614"/>
        <v>0</v>
      </c>
      <c r="P2211" s="287">
        <f t="shared" si="615"/>
        <v>0</v>
      </c>
      <c r="Q2211" s="288"/>
      <c r="R2211" s="311" t="str">
        <f>IF(P2206&gt;0,"xy","")</f>
        <v/>
      </c>
      <c r="S2211" s="378" t="str">
        <f t="shared" si="625"/>
        <v/>
      </c>
    </row>
    <row r="2212" spans="2:19" hidden="1" x14ac:dyDescent="0.2">
      <c r="B2212" s="771" t="s">
        <v>119</v>
      </c>
      <c r="C2212" s="596" t="s">
        <v>207</v>
      </c>
      <c r="D2212" s="383" t="s">
        <v>408</v>
      </c>
      <c r="E2212" s="704"/>
      <c r="F2212" s="661"/>
      <c r="G2212" s="665"/>
      <c r="H2212" s="664">
        <f>SUM(H2213:H2217)</f>
        <v>725.95402844000012</v>
      </c>
      <c r="I2212" s="380">
        <f>VLOOKUP(D2212,'ENSAIOS DE ORÇAMENTO'!$C$3:$L$79,8,FALSE)</f>
        <v>2166.859297</v>
      </c>
      <c r="J2212" s="631">
        <f t="shared" ref="J2212" si="637">IF(ISBLANK(I2212),"",SUM(H2212:I2212))</f>
        <v>2892.81332544</v>
      </c>
      <c r="K2212" s="593">
        <f t="shared" si="628"/>
        <v>3666.64</v>
      </c>
      <c r="L2212" s="594" t="s">
        <v>21</v>
      </c>
      <c r="M2212" s="30"/>
      <c r="N2212" s="30">
        <v>3666.64</v>
      </c>
      <c r="O2212" s="287">
        <f t="shared" si="614"/>
        <v>0</v>
      </c>
      <c r="P2212" s="287">
        <f t="shared" si="615"/>
        <v>0</v>
      </c>
      <c r="Q2212" s="288"/>
      <c r="S2212" s="378" t="str">
        <f t="shared" si="625"/>
        <v/>
      </c>
    </row>
    <row r="2213" spans="2:19" hidden="1" x14ac:dyDescent="0.2">
      <c r="B2213" s="771" t="s">
        <v>168</v>
      </c>
      <c r="C2213" s="596"/>
      <c r="D2213" s="383" t="s">
        <v>213</v>
      </c>
      <c r="E2213" s="704"/>
      <c r="F2213" s="661">
        <v>500</v>
      </c>
      <c r="G2213" s="665">
        <f>VLOOKUP(D2212,'ENSAIOS DE ORÇAMENTO'!$C$3:$L$79,4,FALSE)</f>
        <v>0.82205400000000006</v>
      </c>
      <c r="H2213" s="664">
        <f>IF(F2213&lt;=30,(0.75*F2213+6.29)*G2213,((0.75*30+6.29)+0.62*(F2213-30))*G2213)</f>
        <v>263.21347026000001</v>
      </c>
      <c r="I2213" s="380"/>
      <c r="J2213" s="631"/>
      <c r="K2213" s="593">
        <f t="shared" si="628"/>
        <v>0</v>
      </c>
      <c r="L2213" s="594"/>
      <c r="M2213" s="600"/>
      <c r="N2213" s="600">
        <v>0</v>
      </c>
      <c r="O2213" s="287">
        <f t="shared" si="614"/>
        <v>0</v>
      </c>
      <c r="P2213" s="287">
        <f t="shared" si="615"/>
        <v>0</v>
      </c>
      <c r="Q2213" s="288"/>
      <c r="R2213" s="311" t="str">
        <f>IF(P2212&gt;0,"xy","")</f>
        <v/>
      </c>
      <c r="S2213" s="378" t="str">
        <f t="shared" si="625"/>
        <v/>
      </c>
    </row>
    <row r="2214" spans="2:19" hidden="1" x14ac:dyDescent="0.2">
      <c r="B2214" s="771" t="s">
        <v>168</v>
      </c>
      <c r="C2214" s="596"/>
      <c r="D2214" s="383" t="s">
        <v>249</v>
      </c>
      <c r="E2214" s="704"/>
      <c r="F2214" s="661">
        <v>180</v>
      </c>
      <c r="G2214" s="665">
        <f>VLOOKUP(D2212,'ENSAIOS DE ORÇAMENTO'!$C$3:$L$79,5,FALSE)</f>
        <v>2.4129430000000003</v>
      </c>
      <c r="H2214" s="663">
        <f t="shared" ref="H2214" si="638">IF(F2214&lt;=30,(1.05*F2214+2.18)*G2214,((1.05*30+2.18)+0.87*(F2214-30))*G2214)</f>
        <v>396.15698174000005</v>
      </c>
      <c r="I2214" s="380"/>
      <c r="J2214" s="631"/>
      <c r="K2214" s="593">
        <f t="shared" si="628"/>
        <v>0</v>
      </c>
      <c r="L2214" s="594"/>
      <c r="M2214" s="600"/>
      <c r="N2214" s="600">
        <v>0</v>
      </c>
      <c r="O2214" s="287">
        <f t="shared" si="614"/>
        <v>0</v>
      </c>
      <c r="P2214" s="287">
        <f t="shared" si="615"/>
        <v>0</v>
      </c>
      <c r="Q2214" s="288"/>
      <c r="R2214" s="311" t="str">
        <f>IF(P2212&gt;0,"xy","")</f>
        <v/>
      </c>
      <c r="S2214" s="378" t="str">
        <f t="shared" si="625"/>
        <v/>
      </c>
    </row>
    <row r="2215" spans="2:19" hidden="1" x14ac:dyDescent="0.2">
      <c r="B2215" s="771" t="s">
        <v>168</v>
      </c>
      <c r="C2215" s="596"/>
      <c r="D2215" s="383" t="s">
        <v>253</v>
      </c>
      <c r="E2215" s="704"/>
      <c r="F2215" s="661">
        <v>20</v>
      </c>
      <c r="G2215" s="665">
        <f>VLOOKUP(D2212,'ENSAIOS DE ORÇAMENTO'!$C$3:$L$79,6,FALSE)</f>
        <v>2.8724580000000004</v>
      </c>
      <c r="H2215" s="663">
        <f>IF(F2215&lt;=30,(1.05*F2215+2.18)*G2215,((1.05*30+2.18)+0.87*(F2215-30))*G2215)</f>
        <v>66.583576440000002</v>
      </c>
      <c r="I2215" s="380"/>
      <c r="J2215" s="631"/>
      <c r="K2215" s="593">
        <f t="shared" si="628"/>
        <v>0</v>
      </c>
      <c r="L2215" s="594"/>
      <c r="M2215" s="600"/>
      <c r="N2215" s="600">
        <v>0</v>
      </c>
      <c r="O2215" s="287">
        <f t="shared" ref="O2215:O2278" si="639">IF(ISBLANK(M2215),0,ROUND(K2215*M2215,2))</f>
        <v>0</v>
      </c>
      <c r="P2215" s="287">
        <f t="shared" ref="P2215:P2278" si="640">IF(ISBLANK(N2215),0,ROUND(M2215*N2215,2))</f>
        <v>0</v>
      </c>
      <c r="Q2215" s="288"/>
      <c r="R2215" s="243" t="str">
        <f>IF(P2212&gt;0,"xy","")</f>
        <v/>
      </c>
      <c r="S2215" s="378" t="str">
        <f t="shared" si="625"/>
        <v/>
      </c>
    </row>
    <row r="2216" spans="2:19" hidden="1" x14ac:dyDescent="0.2">
      <c r="B2216" s="771" t="s">
        <v>168</v>
      </c>
      <c r="C2216" s="596"/>
      <c r="D2216" s="383" t="s">
        <v>402</v>
      </c>
      <c r="E2216" s="704"/>
      <c r="F2216" s="661">
        <v>30</v>
      </c>
      <c r="G2216" s="665">
        <f>VLOOKUP(D2212,'ENSAIOS DE ORÇAMENTO'!$C$3:$L$79,3,FALSE)</f>
        <v>0</v>
      </c>
      <c r="H2216" s="663">
        <f>IF(F2216&lt;=30,(1.05*F2216+2.18)*G2216,((1.05*30+2.18)+0.87*(F2216-30))*G2216)</f>
        <v>0</v>
      </c>
      <c r="I2216" s="380"/>
      <c r="J2216" s="631"/>
      <c r="K2216" s="593">
        <f t="shared" si="628"/>
        <v>0</v>
      </c>
      <c r="L2216" s="594"/>
      <c r="M2216" s="600"/>
      <c r="N2216" s="600">
        <v>0</v>
      </c>
      <c r="O2216" s="287">
        <f t="shared" si="639"/>
        <v>0</v>
      </c>
      <c r="P2216" s="287">
        <f t="shared" si="640"/>
        <v>0</v>
      </c>
      <c r="Q2216" s="288"/>
      <c r="R2216" s="311" t="str">
        <f>IF(P2212&gt;0,"xy","")</f>
        <v/>
      </c>
      <c r="S2216" s="378" t="str">
        <f t="shared" si="625"/>
        <v/>
      </c>
    </row>
    <row r="2217" spans="2:19" hidden="1" x14ac:dyDescent="0.2">
      <c r="B2217" s="771" t="s">
        <v>168</v>
      </c>
      <c r="C2217" s="596"/>
      <c r="D2217" s="383" t="s">
        <v>403</v>
      </c>
      <c r="E2217" s="704"/>
      <c r="F2217" s="661">
        <v>500</v>
      </c>
      <c r="G2217" s="665">
        <f>VLOOKUP(D2212,'ENSAIOS DE ORÇAMENTO'!$C$3:$L$79,10,FALSE)</f>
        <v>0</v>
      </c>
      <c r="H2217" s="663">
        <f>IF(F2217&lt;=30,(1.05*F2217+2.18)*G2217,((1.05*30+2.18)+0.87*(F2217-30))*G2217)</f>
        <v>0</v>
      </c>
      <c r="I2217" s="380"/>
      <c r="J2217" s="631"/>
      <c r="K2217" s="593">
        <f t="shared" si="628"/>
        <v>0</v>
      </c>
      <c r="L2217" s="594"/>
      <c r="M2217" s="600"/>
      <c r="N2217" s="600">
        <v>0</v>
      </c>
      <c r="O2217" s="287">
        <f t="shared" si="639"/>
        <v>0</v>
      </c>
      <c r="P2217" s="287">
        <f t="shared" si="640"/>
        <v>0</v>
      </c>
      <c r="Q2217" s="288"/>
      <c r="R2217" s="311" t="str">
        <f>IF(P2212&gt;0,"xy","")</f>
        <v/>
      </c>
      <c r="S2217" s="378" t="str">
        <f t="shared" si="625"/>
        <v/>
      </c>
    </row>
    <row r="2218" spans="2:19" hidden="1" x14ac:dyDescent="0.2">
      <c r="B2218" s="771" t="s">
        <v>120</v>
      </c>
      <c r="C2218" s="596" t="s">
        <v>207</v>
      </c>
      <c r="D2218" s="383" t="s">
        <v>409</v>
      </c>
      <c r="E2218" s="704"/>
      <c r="F2218" s="661"/>
      <c r="G2218" s="665"/>
      <c r="H2218" s="664">
        <f>SUM(H2219:H2223)</f>
        <v>903.14565800000003</v>
      </c>
      <c r="I2218" s="380">
        <f>VLOOKUP(D2218,'ENSAIOS DE ORÇAMENTO'!$C$3:$L$79,8,FALSE)</f>
        <v>2527.0153169999999</v>
      </c>
      <c r="J2218" s="631">
        <f t="shared" ref="J2218" si="641">IF(ISBLANK(I2218),"",SUM(H2218:I2218))</f>
        <v>3430.1609749999998</v>
      </c>
      <c r="K2218" s="593">
        <f t="shared" si="628"/>
        <v>4347.7299999999996</v>
      </c>
      <c r="L2218" s="594" t="s">
        <v>21</v>
      </c>
      <c r="M2218" s="30"/>
      <c r="N2218" s="30">
        <v>4347.7299999999996</v>
      </c>
      <c r="O2218" s="287">
        <f t="shared" si="639"/>
        <v>0</v>
      </c>
      <c r="P2218" s="287">
        <f t="shared" si="640"/>
        <v>0</v>
      </c>
      <c r="Q2218" s="288"/>
      <c r="S2218" s="378" t="str">
        <f t="shared" si="625"/>
        <v/>
      </c>
    </row>
    <row r="2219" spans="2:19" hidden="1" x14ac:dyDescent="0.2">
      <c r="B2219" s="771" t="s">
        <v>168</v>
      </c>
      <c r="C2219" s="596"/>
      <c r="D2219" s="383" t="s">
        <v>213</v>
      </c>
      <c r="E2219" s="704"/>
      <c r="F2219" s="661">
        <v>500</v>
      </c>
      <c r="G2219" s="665">
        <f>VLOOKUP(D2218,'ENSAIOS DE ORÇAMENTO'!$C$3:$L$79,4,FALSE)</f>
        <v>1.028964</v>
      </c>
      <c r="H2219" s="664">
        <f>IF(F2219&lt;=30,(0.75*F2219+6.29)*G2219,((0.75*30+6.29)+0.62*(F2219-30))*G2219)</f>
        <v>329.46398316</v>
      </c>
      <c r="I2219" s="380"/>
      <c r="J2219" s="631"/>
      <c r="K2219" s="593">
        <f t="shared" si="628"/>
        <v>0</v>
      </c>
      <c r="L2219" s="594"/>
      <c r="M2219" s="600"/>
      <c r="N2219" s="600">
        <v>0</v>
      </c>
      <c r="O2219" s="287">
        <f t="shared" si="639"/>
        <v>0</v>
      </c>
      <c r="P2219" s="287">
        <f t="shared" si="640"/>
        <v>0</v>
      </c>
      <c r="Q2219" s="288"/>
      <c r="R2219" s="311" t="str">
        <f>IF(P2218&gt;0,"xy","")</f>
        <v/>
      </c>
      <c r="S2219" s="378" t="str">
        <f t="shared" si="625"/>
        <v/>
      </c>
    </row>
    <row r="2220" spans="2:19" hidden="1" x14ac:dyDescent="0.2">
      <c r="B2220" s="771" t="s">
        <v>168</v>
      </c>
      <c r="C2220" s="596"/>
      <c r="D2220" s="383" t="s">
        <v>249</v>
      </c>
      <c r="E2220" s="704"/>
      <c r="F2220" s="661">
        <v>180</v>
      </c>
      <c r="G2220" s="665">
        <f>VLOOKUP(D2218,'ENSAIOS DE ORÇAMENTO'!$C$3:$L$79,5,FALSE)</f>
        <v>2.9904099999999998</v>
      </c>
      <c r="H2220" s="663">
        <f t="shared" ref="H2220" si="642">IF(F2220&lt;=30,(1.05*F2220+2.18)*G2220,((1.05*30+2.18)+0.87*(F2220-30))*G2220)</f>
        <v>490.9655138</v>
      </c>
      <c r="I2220" s="380"/>
      <c r="J2220" s="631"/>
      <c r="K2220" s="593">
        <f t="shared" si="628"/>
        <v>0</v>
      </c>
      <c r="L2220" s="594"/>
      <c r="M2220" s="600"/>
      <c r="N2220" s="600">
        <v>0</v>
      </c>
      <c r="O2220" s="287">
        <f t="shared" si="639"/>
        <v>0</v>
      </c>
      <c r="P2220" s="287">
        <f t="shared" si="640"/>
        <v>0</v>
      </c>
      <c r="Q2220" s="288"/>
      <c r="R2220" s="311" t="str">
        <f>IF(P2218&gt;0,"xy","")</f>
        <v/>
      </c>
      <c r="S2220" s="378" t="str">
        <f t="shared" si="625"/>
        <v/>
      </c>
    </row>
    <row r="2221" spans="2:19" hidden="1" x14ac:dyDescent="0.2">
      <c r="B2221" s="771" t="s">
        <v>168</v>
      </c>
      <c r="C2221" s="596"/>
      <c r="D2221" s="383" t="s">
        <v>253</v>
      </c>
      <c r="E2221" s="704"/>
      <c r="F2221" s="661">
        <v>20</v>
      </c>
      <c r="G2221" s="665">
        <f>VLOOKUP(D2218,'ENSAIOS DE ORÇAMENTO'!$C$3:$L$79,6,FALSE)</f>
        <v>3.5684279999999999</v>
      </c>
      <c r="H2221" s="663">
        <f>IF(F2221&lt;=30,(1.05*F2221+2.18)*G2221,((1.05*30+2.18)+0.87*(F2221-30))*G2221)</f>
        <v>82.716161040000003</v>
      </c>
      <c r="I2221" s="380"/>
      <c r="J2221" s="631"/>
      <c r="K2221" s="593">
        <f t="shared" si="628"/>
        <v>0</v>
      </c>
      <c r="L2221" s="594"/>
      <c r="M2221" s="600"/>
      <c r="N2221" s="600">
        <v>0</v>
      </c>
      <c r="O2221" s="287">
        <f t="shared" si="639"/>
        <v>0</v>
      </c>
      <c r="P2221" s="287">
        <f t="shared" si="640"/>
        <v>0</v>
      </c>
      <c r="Q2221" s="288"/>
      <c r="R2221" s="243" t="str">
        <f>IF(P2218&gt;0,"xy","")</f>
        <v/>
      </c>
      <c r="S2221" s="378" t="str">
        <f t="shared" si="625"/>
        <v/>
      </c>
    </row>
    <row r="2222" spans="2:19" hidden="1" x14ac:dyDescent="0.2">
      <c r="B2222" s="771" t="s">
        <v>168</v>
      </c>
      <c r="C2222" s="596"/>
      <c r="D2222" s="383" t="s">
        <v>402</v>
      </c>
      <c r="E2222" s="704"/>
      <c r="F2222" s="661">
        <v>30</v>
      </c>
      <c r="G2222" s="665">
        <f>VLOOKUP(D2218,'ENSAIOS DE ORÇAMENTO'!$C$3:$L$79,3,FALSE)</f>
        <v>0</v>
      </c>
      <c r="H2222" s="663">
        <f>IF(F2222&lt;=30,(1.05*F2222+2.18)*G2222,((1.05*30+2.18)+0.87*(F2222-30))*G2222)</f>
        <v>0</v>
      </c>
      <c r="I2222" s="380"/>
      <c r="J2222" s="631"/>
      <c r="K2222" s="593">
        <f t="shared" si="628"/>
        <v>0</v>
      </c>
      <c r="L2222" s="594"/>
      <c r="M2222" s="600"/>
      <c r="N2222" s="600">
        <v>0</v>
      </c>
      <c r="O2222" s="287">
        <f t="shared" si="639"/>
        <v>0</v>
      </c>
      <c r="P2222" s="287">
        <f t="shared" si="640"/>
        <v>0</v>
      </c>
      <c r="Q2222" s="288"/>
      <c r="R2222" s="311" t="str">
        <f>IF(P2218&gt;0,"xy","")</f>
        <v/>
      </c>
      <c r="S2222" s="378" t="str">
        <f t="shared" si="625"/>
        <v/>
      </c>
    </row>
    <row r="2223" spans="2:19" hidden="1" x14ac:dyDescent="0.2">
      <c r="B2223" s="771" t="s">
        <v>168</v>
      </c>
      <c r="C2223" s="596"/>
      <c r="D2223" s="383" t="s">
        <v>403</v>
      </c>
      <c r="E2223" s="704"/>
      <c r="F2223" s="661">
        <v>500</v>
      </c>
      <c r="G2223" s="665">
        <f>VLOOKUP(D2218,'ENSAIOS DE ORÇAMENTO'!$C$3:$L$79,10,FALSE)</f>
        <v>0</v>
      </c>
      <c r="H2223" s="663">
        <f>IF(F2223&lt;=30,(1.05*F2223+2.18)*G2223,((1.05*30+2.18)+0.87*(F2223-30))*G2223)</f>
        <v>0</v>
      </c>
      <c r="I2223" s="380"/>
      <c r="J2223" s="631"/>
      <c r="K2223" s="593">
        <f t="shared" si="628"/>
        <v>0</v>
      </c>
      <c r="L2223" s="594"/>
      <c r="M2223" s="600"/>
      <c r="N2223" s="600">
        <v>0</v>
      </c>
      <c r="O2223" s="287">
        <f t="shared" si="639"/>
        <v>0</v>
      </c>
      <c r="P2223" s="287">
        <f t="shared" si="640"/>
        <v>0</v>
      </c>
      <c r="Q2223" s="288"/>
      <c r="R2223" s="311" t="str">
        <f>IF(P2218&gt;0,"xy","")</f>
        <v/>
      </c>
      <c r="S2223" s="378" t="str">
        <f t="shared" si="625"/>
        <v/>
      </c>
    </row>
    <row r="2224" spans="2:19" hidden="1" x14ac:dyDescent="0.2">
      <c r="B2224" s="771" t="s">
        <v>121</v>
      </c>
      <c r="C2224" s="596" t="s">
        <v>207</v>
      </c>
      <c r="D2224" s="383" t="s">
        <v>410</v>
      </c>
      <c r="E2224" s="704"/>
      <c r="F2224" s="661"/>
      <c r="G2224" s="665"/>
      <c r="H2224" s="664">
        <f>SUM(H2225:H2229)</f>
        <v>1193.09559728</v>
      </c>
      <c r="I2224" s="380">
        <f>VLOOKUP(D2224,'ENSAIOS DE ORÇAMENTO'!$C$3:$L$79,8,FALSE)</f>
        <v>3118.2251119999996</v>
      </c>
      <c r="J2224" s="631">
        <f t="shared" ref="J2224" si="643">IF(ISBLANK(I2224),"",SUM(H2224:I2224))</f>
        <v>4311.3207092799994</v>
      </c>
      <c r="K2224" s="593">
        <f t="shared" si="628"/>
        <v>5464.6</v>
      </c>
      <c r="L2224" s="594" t="s">
        <v>21</v>
      </c>
      <c r="M2224" s="30"/>
      <c r="N2224" s="30">
        <v>5464.6</v>
      </c>
      <c r="O2224" s="287">
        <f t="shared" si="639"/>
        <v>0</v>
      </c>
      <c r="P2224" s="287">
        <f t="shared" si="640"/>
        <v>0</v>
      </c>
      <c r="Q2224" s="288"/>
      <c r="S2224" s="378" t="str">
        <f t="shared" si="625"/>
        <v/>
      </c>
    </row>
    <row r="2225" spans="2:19" hidden="1" x14ac:dyDescent="0.2">
      <c r="B2225" s="771" t="s">
        <v>168</v>
      </c>
      <c r="C2225" s="596"/>
      <c r="D2225" s="383" t="s">
        <v>213</v>
      </c>
      <c r="E2225" s="704"/>
      <c r="F2225" s="661">
        <v>500</v>
      </c>
      <c r="G2225" s="665">
        <f>VLOOKUP(D2224,'ENSAIOS DE ORÇAMENTO'!$C$3:$L$79,4,FALSE)</f>
        <v>1.3675439999999999</v>
      </c>
      <c r="H2225" s="664">
        <f>IF(F2225&lt;=30,(0.75*F2225+6.29)*G2225,((0.75*30+6.29)+0.62*(F2225-30))*G2225)</f>
        <v>437.87391335999996</v>
      </c>
      <c r="I2225" s="380"/>
      <c r="J2225" s="631"/>
      <c r="K2225" s="593">
        <f t="shared" si="628"/>
        <v>0</v>
      </c>
      <c r="L2225" s="594"/>
      <c r="M2225" s="600"/>
      <c r="N2225" s="600">
        <v>0</v>
      </c>
      <c r="O2225" s="287">
        <f t="shared" si="639"/>
        <v>0</v>
      </c>
      <c r="P2225" s="287">
        <f t="shared" si="640"/>
        <v>0</v>
      </c>
      <c r="Q2225" s="288"/>
      <c r="R2225" s="311" t="str">
        <f>IF(P2224&gt;0,"xy","")</f>
        <v/>
      </c>
      <c r="S2225" s="378" t="str">
        <f t="shared" si="625"/>
        <v/>
      </c>
    </row>
    <row r="2226" spans="2:19" hidden="1" x14ac:dyDescent="0.2">
      <c r="B2226" s="771" t="s">
        <v>168</v>
      </c>
      <c r="C2226" s="596"/>
      <c r="D2226" s="383" t="s">
        <v>249</v>
      </c>
      <c r="E2226" s="704"/>
      <c r="F2226" s="661">
        <v>180</v>
      </c>
      <c r="G2226" s="665">
        <f>VLOOKUP(D2224,'ENSAIOS DE ORÇAMENTO'!$C$3:$L$79,5,FALSE)</f>
        <v>3.9353559999999996</v>
      </c>
      <c r="H2226" s="663">
        <f t="shared" ref="H2226" si="644">IF(F2226&lt;=30,(1.05*F2226+2.18)*G2226,((1.05*30+2.18)+0.87*(F2226-30))*G2226)</f>
        <v>646.10674807999999</v>
      </c>
      <c r="I2226" s="380"/>
      <c r="J2226" s="631"/>
      <c r="K2226" s="593">
        <f t="shared" si="628"/>
        <v>0</v>
      </c>
      <c r="L2226" s="594"/>
      <c r="M2226" s="600"/>
      <c r="N2226" s="600">
        <v>0</v>
      </c>
      <c r="O2226" s="287">
        <f t="shared" si="639"/>
        <v>0</v>
      </c>
      <c r="P2226" s="287">
        <f t="shared" si="640"/>
        <v>0</v>
      </c>
      <c r="Q2226" s="288"/>
      <c r="R2226" s="311" t="str">
        <f>IF(P2224&gt;0,"xy","")</f>
        <v/>
      </c>
      <c r="S2226" s="378" t="str">
        <f t="shared" si="625"/>
        <v/>
      </c>
    </row>
    <row r="2227" spans="2:19" hidden="1" x14ac:dyDescent="0.2">
      <c r="B2227" s="771" t="s">
        <v>168</v>
      </c>
      <c r="C2227" s="596"/>
      <c r="D2227" s="383" t="s">
        <v>253</v>
      </c>
      <c r="E2227" s="704"/>
      <c r="F2227" s="661">
        <v>20</v>
      </c>
      <c r="G2227" s="665">
        <f>VLOOKUP(D2224,'ENSAIOS DE ORÇAMENTO'!$C$3:$L$79,6,FALSE)</f>
        <v>4.7072880000000001</v>
      </c>
      <c r="H2227" s="663">
        <f>IF(F2227&lt;=30,(1.05*F2227+2.18)*G2227,((1.05*30+2.18)+0.87*(F2227-30))*G2227)</f>
        <v>109.11493584</v>
      </c>
      <c r="I2227" s="380"/>
      <c r="J2227" s="631"/>
      <c r="K2227" s="593">
        <f t="shared" si="628"/>
        <v>0</v>
      </c>
      <c r="L2227" s="594"/>
      <c r="M2227" s="600"/>
      <c r="N2227" s="600">
        <v>0</v>
      </c>
      <c r="O2227" s="287">
        <f t="shared" si="639"/>
        <v>0</v>
      </c>
      <c r="P2227" s="287">
        <f t="shared" si="640"/>
        <v>0</v>
      </c>
      <c r="Q2227" s="288"/>
      <c r="R2227" s="243" t="str">
        <f>IF(P2224&gt;0,"xy","")</f>
        <v/>
      </c>
      <c r="S2227" s="378" t="str">
        <f t="shared" si="625"/>
        <v/>
      </c>
    </row>
    <row r="2228" spans="2:19" hidden="1" x14ac:dyDescent="0.2">
      <c r="B2228" s="771" t="s">
        <v>168</v>
      </c>
      <c r="C2228" s="596"/>
      <c r="D2228" s="383" t="s">
        <v>402</v>
      </c>
      <c r="E2228" s="704"/>
      <c r="F2228" s="661">
        <v>30</v>
      </c>
      <c r="G2228" s="665">
        <f>VLOOKUP(D2224,'ENSAIOS DE ORÇAMENTO'!$C$3:$L$79,3,FALSE)</f>
        <v>0</v>
      </c>
      <c r="H2228" s="663">
        <f>IF(F2228&lt;=30,(1.05*F2228+2.18)*G2228,((1.05*30+2.18)+0.87*(F2228-30))*G2228)</f>
        <v>0</v>
      </c>
      <c r="I2228" s="380"/>
      <c r="J2228" s="631"/>
      <c r="K2228" s="593">
        <f t="shared" si="628"/>
        <v>0</v>
      </c>
      <c r="L2228" s="594"/>
      <c r="M2228" s="600"/>
      <c r="N2228" s="600">
        <v>0</v>
      </c>
      <c r="O2228" s="287">
        <f t="shared" si="639"/>
        <v>0</v>
      </c>
      <c r="P2228" s="287">
        <f t="shared" si="640"/>
        <v>0</v>
      </c>
      <c r="Q2228" s="288"/>
      <c r="R2228" s="311" t="str">
        <f>IF(P2224&gt;0,"xy","")</f>
        <v/>
      </c>
      <c r="S2228" s="378" t="str">
        <f t="shared" si="625"/>
        <v/>
      </c>
    </row>
    <row r="2229" spans="2:19" hidden="1" x14ac:dyDescent="0.2">
      <c r="B2229" s="771" t="s">
        <v>168</v>
      </c>
      <c r="C2229" s="596"/>
      <c r="D2229" s="383" t="s">
        <v>403</v>
      </c>
      <c r="E2229" s="704"/>
      <c r="F2229" s="661">
        <v>500</v>
      </c>
      <c r="G2229" s="665">
        <f>VLOOKUP(D2224,'ENSAIOS DE ORÇAMENTO'!$C$3:$L$79,10,FALSE)</f>
        <v>0</v>
      </c>
      <c r="H2229" s="663">
        <f>IF(F2229&lt;=30,(1.05*F2229+2.18)*G2229,((1.05*30+2.18)+0.87*(F2229-30))*G2229)</f>
        <v>0</v>
      </c>
      <c r="I2229" s="380"/>
      <c r="J2229" s="631"/>
      <c r="K2229" s="593">
        <f t="shared" si="628"/>
        <v>0</v>
      </c>
      <c r="L2229" s="594"/>
      <c r="M2229" s="600"/>
      <c r="N2229" s="600">
        <v>0</v>
      </c>
      <c r="O2229" s="287">
        <f t="shared" si="639"/>
        <v>0</v>
      </c>
      <c r="P2229" s="287">
        <f t="shared" si="640"/>
        <v>0</v>
      </c>
      <c r="Q2229" s="288"/>
      <c r="R2229" s="311" t="str">
        <f>IF(P2224&gt;0,"xy","")</f>
        <v/>
      </c>
      <c r="S2229" s="378" t="str">
        <f t="shared" si="625"/>
        <v/>
      </c>
    </row>
    <row r="2230" spans="2:19" hidden="1" x14ac:dyDescent="0.2">
      <c r="B2230" s="771" t="s">
        <v>122</v>
      </c>
      <c r="C2230" s="596" t="s">
        <v>207</v>
      </c>
      <c r="D2230" s="383" t="s">
        <v>411</v>
      </c>
      <c r="E2230" s="704"/>
      <c r="F2230" s="661"/>
      <c r="G2230" s="665"/>
      <c r="H2230" s="664">
        <f>SUM(H2231:H2235)</f>
        <v>1488.4149798799999</v>
      </c>
      <c r="I2230" s="380">
        <f>VLOOKUP(D2230,'ENSAIOS DE ORÇAMENTO'!$C$3:$L$79,8,FALSE)</f>
        <v>3718.1255069999997</v>
      </c>
      <c r="J2230" s="631">
        <f t="shared" ref="J2230" si="645">IF(ISBLANK(I2230),"",SUM(H2230:I2230))</f>
        <v>5206.5404868799997</v>
      </c>
      <c r="K2230" s="593">
        <f t="shared" si="628"/>
        <v>6599.29</v>
      </c>
      <c r="L2230" s="594" t="s">
        <v>21</v>
      </c>
      <c r="M2230" s="30"/>
      <c r="N2230" s="30">
        <v>6599.29</v>
      </c>
      <c r="O2230" s="287">
        <f t="shared" si="639"/>
        <v>0</v>
      </c>
      <c r="P2230" s="287">
        <f t="shared" si="640"/>
        <v>0</v>
      </c>
      <c r="Q2230" s="288"/>
      <c r="S2230" s="378" t="str">
        <f t="shared" si="625"/>
        <v/>
      </c>
    </row>
    <row r="2231" spans="2:19" hidden="1" x14ac:dyDescent="0.2">
      <c r="B2231" s="771" t="s">
        <v>168</v>
      </c>
      <c r="C2231" s="596"/>
      <c r="D2231" s="383" t="s">
        <v>213</v>
      </c>
      <c r="E2231" s="704"/>
      <c r="F2231" s="661">
        <v>500</v>
      </c>
      <c r="G2231" s="665">
        <f>VLOOKUP(D2230,'ENSAIOS DE ORÇAMENTO'!$C$3:$L$79,4,FALSE)</f>
        <v>1.7123939999999997</v>
      </c>
      <c r="H2231" s="664">
        <f>IF(F2231&lt;=30,(0.75*F2231+6.29)*G2231,((0.75*30+6.29)+0.62*(F2231-30))*G2231)</f>
        <v>548.29143485999987</v>
      </c>
      <c r="I2231" s="380"/>
      <c r="J2231" s="631"/>
      <c r="K2231" s="593">
        <f t="shared" si="628"/>
        <v>0</v>
      </c>
      <c r="L2231" s="594"/>
      <c r="M2231" s="600"/>
      <c r="N2231" s="600">
        <v>0</v>
      </c>
      <c r="O2231" s="287">
        <f t="shared" si="639"/>
        <v>0</v>
      </c>
      <c r="P2231" s="287">
        <f t="shared" si="640"/>
        <v>0</v>
      </c>
      <c r="Q2231" s="288"/>
      <c r="R2231" s="311" t="str">
        <f>IF(P2230&gt;0,"xy","")</f>
        <v/>
      </c>
      <c r="S2231" s="378" t="str">
        <f t="shared" si="625"/>
        <v/>
      </c>
    </row>
    <row r="2232" spans="2:19" hidden="1" x14ac:dyDescent="0.2">
      <c r="B2232" s="771" t="s">
        <v>168</v>
      </c>
      <c r="C2232" s="596"/>
      <c r="D2232" s="383" t="s">
        <v>249</v>
      </c>
      <c r="E2232" s="704"/>
      <c r="F2232" s="661">
        <v>180</v>
      </c>
      <c r="G2232" s="665">
        <f>VLOOKUP(D2230,'ENSAIOS DE ORÇAMENTO'!$C$3:$L$79,5,FALSE)</f>
        <v>4.8978009999999994</v>
      </c>
      <c r="H2232" s="663">
        <f t="shared" ref="H2232" si="646">IF(F2232&lt;=30,(1.05*F2232+2.18)*G2232,((1.05*30+2.18)+0.87*(F2232-30))*G2232)</f>
        <v>804.12096817999998</v>
      </c>
      <c r="I2232" s="380"/>
      <c r="J2232" s="631"/>
      <c r="K2232" s="593">
        <f t="shared" si="628"/>
        <v>0</v>
      </c>
      <c r="L2232" s="594"/>
      <c r="M2232" s="600"/>
      <c r="N2232" s="600">
        <v>0</v>
      </c>
      <c r="O2232" s="287">
        <f t="shared" si="639"/>
        <v>0</v>
      </c>
      <c r="P2232" s="287">
        <f t="shared" si="640"/>
        <v>0</v>
      </c>
      <c r="Q2232" s="288"/>
      <c r="R2232" s="311" t="str">
        <f>IF(P2230&gt;0,"xy","")</f>
        <v/>
      </c>
      <c r="S2232" s="378" t="str">
        <f t="shared" si="625"/>
        <v/>
      </c>
    </row>
    <row r="2233" spans="2:19" hidden="1" x14ac:dyDescent="0.2">
      <c r="B2233" s="771" t="s">
        <v>168</v>
      </c>
      <c r="C2233" s="596"/>
      <c r="D2233" s="383" t="s">
        <v>253</v>
      </c>
      <c r="E2233" s="704"/>
      <c r="F2233" s="661">
        <v>20</v>
      </c>
      <c r="G2233" s="665">
        <f>VLOOKUP(D2230,'ENSAIOS DE ORÇAMENTO'!$C$3:$L$79,6,FALSE)</f>
        <v>5.8672380000000004</v>
      </c>
      <c r="H2233" s="663">
        <f>IF(F2233&lt;=30,(1.05*F2233+2.18)*G2233,((1.05*30+2.18)+0.87*(F2233-30))*G2233)</f>
        <v>136.00257684000002</v>
      </c>
      <c r="I2233" s="380"/>
      <c r="J2233" s="631"/>
      <c r="K2233" s="593">
        <f t="shared" si="628"/>
        <v>0</v>
      </c>
      <c r="L2233" s="594"/>
      <c r="M2233" s="600"/>
      <c r="N2233" s="600">
        <v>0</v>
      </c>
      <c r="O2233" s="287">
        <f t="shared" si="639"/>
        <v>0</v>
      </c>
      <c r="P2233" s="287">
        <f t="shared" si="640"/>
        <v>0</v>
      </c>
      <c r="Q2233" s="288"/>
      <c r="R2233" s="243" t="str">
        <f>IF(P2230&gt;0,"xy","")</f>
        <v/>
      </c>
      <c r="S2233" s="378" t="str">
        <f t="shared" si="625"/>
        <v/>
      </c>
    </row>
    <row r="2234" spans="2:19" hidden="1" x14ac:dyDescent="0.2">
      <c r="B2234" s="771" t="s">
        <v>168</v>
      </c>
      <c r="C2234" s="596"/>
      <c r="D2234" s="383" t="s">
        <v>402</v>
      </c>
      <c r="E2234" s="704"/>
      <c r="F2234" s="661">
        <v>30</v>
      </c>
      <c r="G2234" s="665">
        <f>VLOOKUP(D2230,'ENSAIOS DE ORÇAMENTO'!$C$3:$L$79,3,FALSE)</f>
        <v>0</v>
      </c>
      <c r="H2234" s="663">
        <f>IF(F2234&lt;=30,(1.05*F2234+2.18)*G2234,((1.05*30+2.18)+0.87*(F2234-30))*G2234)</f>
        <v>0</v>
      </c>
      <c r="I2234" s="380"/>
      <c r="J2234" s="631"/>
      <c r="K2234" s="593">
        <f t="shared" si="628"/>
        <v>0</v>
      </c>
      <c r="L2234" s="594"/>
      <c r="M2234" s="600"/>
      <c r="N2234" s="600">
        <v>0</v>
      </c>
      <c r="O2234" s="287">
        <f t="shared" si="639"/>
        <v>0</v>
      </c>
      <c r="P2234" s="287">
        <f t="shared" si="640"/>
        <v>0</v>
      </c>
      <c r="Q2234" s="288"/>
      <c r="R2234" s="311" t="str">
        <f>IF(P2230&gt;0,"xy","")</f>
        <v/>
      </c>
      <c r="S2234" s="378" t="str">
        <f t="shared" si="625"/>
        <v/>
      </c>
    </row>
    <row r="2235" spans="2:19" hidden="1" x14ac:dyDescent="0.2">
      <c r="B2235" s="771" t="s">
        <v>168</v>
      </c>
      <c r="C2235" s="596"/>
      <c r="D2235" s="383" t="s">
        <v>403</v>
      </c>
      <c r="E2235" s="704"/>
      <c r="F2235" s="661">
        <v>500</v>
      </c>
      <c r="G2235" s="665">
        <f>VLOOKUP(D2230,'ENSAIOS DE ORÇAMENTO'!$C$3:$L$79,10,FALSE)</f>
        <v>0</v>
      </c>
      <c r="H2235" s="663">
        <f>IF(F2235&lt;=30,(1.05*F2235+2.18)*G2235,((1.05*30+2.18)+0.87*(F2235-30))*G2235)</f>
        <v>0</v>
      </c>
      <c r="I2235" s="380"/>
      <c r="J2235" s="631"/>
      <c r="K2235" s="593">
        <f t="shared" si="628"/>
        <v>0</v>
      </c>
      <c r="L2235" s="594"/>
      <c r="M2235" s="600"/>
      <c r="N2235" s="600">
        <v>0</v>
      </c>
      <c r="O2235" s="287">
        <f t="shared" si="639"/>
        <v>0</v>
      </c>
      <c r="P2235" s="287">
        <f t="shared" si="640"/>
        <v>0</v>
      </c>
      <c r="Q2235" s="288"/>
      <c r="R2235" s="311" t="str">
        <f>IF(P2230&gt;0,"xy","")</f>
        <v/>
      </c>
      <c r="S2235" s="378" t="str">
        <f t="shared" si="625"/>
        <v/>
      </c>
    </row>
    <row r="2236" spans="2:19" hidden="1" x14ac:dyDescent="0.2">
      <c r="B2236" s="771" t="s">
        <v>34</v>
      </c>
      <c r="C2236" s="596" t="s">
        <v>207</v>
      </c>
      <c r="D2236" s="383" t="s">
        <v>112</v>
      </c>
      <c r="E2236" s="704"/>
      <c r="F2236" s="661"/>
      <c r="G2236" s="665"/>
      <c r="H2236" s="664">
        <f>SUM(H2237:H2241)</f>
        <v>344.18396260000003</v>
      </c>
      <c r="I2236" s="380">
        <f>VLOOKUP(D2236,'ENSAIOS DE ORÇAMENTO'!$C$3:$L$79,8,FALSE)</f>
        <v>3781.6615259999994</v>
      </c>
      <c r="J2236" s="631">
        <f t="shared" ref="J2236" si="647">IF(ISBLANK(I2236),"",SUM(H2236:I2236))</f>
        <v>4125.845488599999</v>
      </c>
      <c r="K2236" s="593">
        <f t="shared" si="628"/>
        <v>5229.51</v>
      </c>
      <c r="L2236" s="594" t="s">
        <v>21</v>
      </c>
      <c r="M2236" s="30"/>
      <c r="N2236" s="30">
        <v>5229.51</v>
      </c>
      <c r="O2236" s="287">
        <f t="shared" si="639"/>
        <v>0</v>
      </c>
      <c r="P2236" s="287">
        <f t="shared" si="640"/>
        <v>0</v>
      </c>
      <c r="Q2236" s="288"/>
      <c r="S2236" s="378" t="str">
        <f t="shared" si="625"/>
        <v/>
      </c>
    </row>
    <row r="2237" spans="2:19" hidden="1" x14ac:dyDescent="0.2">
      <c r="B2237" s="771" t="s">
        <v>168</v>
      </c>
      <c r="C2237" s="596"/>
      <c r="D2237" s="383" t="s">
        <v>213</v>
      </c>
      <c r="E2237" s="704"/>
      <c r="F2237" s="661">
        <v>500</v>
      </c>
      <c r="G2237" s="665">
        <f>VLOOKUP(D2236,'ENSAIOS DE ORÇAMENTO'!$C$3:$L$79,4,FALSE)</f>
        <v>0.38908200000000004</v>
      </c>
      <c r="H2237" s="664">
        <f>IF(F2237&lt;=30,(0.75*F2237+6.29)*G2237,((0.75*30+6.29)+0.62*(F2237-30))*G2237)</f>
        <v>124.58016558000001</v>
      </c>
      <c r="I2237" s="380"/>
      <c r="J2237" s="631"/>
      <c r="K2237" s="593">
        <f t="shared" si="628"/>
        <v>0</v>
      </c>
      <c r="L2237" s="594"/>
      <c r="M2237" s="600"/>
      <c r="N2237" s="600">
        <v>0</v>
      </c>
      <c r="O2237" s="287">
        <f t="shared" si="639"/>
        <v>0</v>
      </c>
      <c r="P2237" s="287">
        <f t="shared" si="640"/>
        <v>0</v>
      </c>
      <c r="Q2237" s="288"/>
      <c r="R2237" s="311" t="str">
        <f>IF(P2236&gt;0,"xy","")</f>
        <v/>
      </c>
      <c r="S2237" s="378" t="str">
        <f t="shared" ref="S2237:S2300" si="648">IF(R2237="x","x",IF(R2237="y","x",IF(R2237="xy","x",IF(P2237&gt;0,"x",""))))</f>
        <v/>
      </c>
    </row>
    <row r="2238" spans="2:19" hidden="1" x14ac:dyDescent="0.2">
      <c r="B2238" s="771" t="s">
        <v>168</v>
      </c>
      <c r="C2238" s="596"/>
      <c r="D2238" s="383" t="s">
        <v>249</v>
      </c>
      <c r="E2238" s="704"/>
      <c r="F2238" s="661">
        <v>180</v>
      </c>
      <c r="G2238" s="665">
        <f>VLOOKUP(D2236,'ENSAIOS DE ORÇAMENTO'!$C$3:$L$79,5,FALSE)</f>
        <v>1.1452249999999999</v>
      </c>
      <c r="H2238" s="663">
        <f t="shared" ref="H2238" si="649">IF(F2238&lt;=30,(1.05*F2238+2.18)*G2238,((1.05*30+2.18)+0.87*(F2238-30))*G2238)</f>
        <v>188.02304050000001</v>
      </c>
      <c r="I2238" s="380"/>
      <c r="J2238" s="631"/>
      <c r="K2238" s="593">
        <f t="shared" si="628"/>
        <v>0</v>
      </c>
      <c r="L2238" s="594"/>
      <c r="M2238" s="600"/>
      <c r="N2238" s="600">
        <v>0</v>
      </c>
      <c r="O2238" s="287">
        <f t="shared" si="639"/>
        <v>0</v>
      </c>
      <c r="P2238" s="287">
        <f t="shared" si="640"/>
        <v>0</v>
      </c>
      <c r="Q2238" s="288"/>
      <c r="R2238" s="311" t="str">
        <f>IF(P2236&gt;0,"xy","")</f>
        <v/>
      </c>
      <c r="S2238" s="378" t="str">
        <f t="shared" si="648"/>
        <v/>
      </c>
    </row>
    <row r="2239" spans="2:19" hidden="1" x14ac:dyDescent="0.2">
      <c r="B2239" s="771" t="s">
        <v>168</v>
      </c>
      <c r="C2239" s="596"/>
      <c r="D2239" s="383" t="s">
        <v>253</v>
      </c>
      <c r="E2239" s="704"/>
      <c r="F2239" s="661">
        <v>20</v>
      </c>
      <c r="G2239" s="665">
        <f>VLOOKUP(D2236,'ENSAIOS DE ORÇAMENTO'!$C$3:$L$79,6,FALSE)</f>
        <v>1.362414</v>
      </c>
      <c r="H2239" s="663">
        <f>IF(F2239&lt;=30,(1.05*F2239+2.18)*G2239,((1.05*30+2.18)+0.87*(F2239-30))*G2239)</f>
        <v>31.580756520000001</v>
      </c>
      <c r="I2239" s="380"/>
      <c r="J2239" s="631"/>
      <c r="K2239" s="593">
        <f t="shared" si="628"/>
        <v>0</v>
      </c>
      <c r="L2239" s="594"/>
      <c r="M2239" s="600"/>
      <c r="N2239" s="600">
        <v>0</v>
      </c>
      <c r="O2239" s="287">
        <f t="shared" si="639"/>
        <v>0</v>
      </c>
      <c r="P2239" s="287">
        <f t="shared" si="640"/>
        <v>0</v>
      </c>
      <c r="Q2239" s="288"/>
      <c r="R2239" s="243" t="str">
        <f>IF(P2236&gt;0,"xy","")</f>
        <v/>
      </c>
      <c r="S2239" s="378" t="str">
        <f t="shared" si="648"/>
        <v/>
      </c>
    </row>
    <row r="2240" spans="2:19" hidden="1" x14ac:dyDescent="0.2">
      <c r="B2240" s="771" t="s">
        <v>168</v>
      </c>
      <c r="C2240" s="596"/>
      <c r="D2240" s="383" t="s">
        <v>402</v>
      </c>
      <c r="E2240" s="704"/>
      <c r="F2240" s="661">
        <v>30</v>
      </c>
      <c r="G2240" s="665">
        <f>VLOOKUP(D2236,'ENSAIOS DE ORÇAMENTO'!$C$3:$L$79,3,FALSE)</f>
        <v>0</v>
      </c>
      <c r="H2240" s="663">
        <f>IF(F2240&lt;=30,(1.05*F2240+2.18)*G2240,((1.05*30+2.18)+0.87*(F2240-30))*G2240)</f>
        <v>0</v>
      </c>
      <c r="I2240" s="380"/>
      <c r="J2240" s="631"/>
      <c r="K2240" s="593">
        <f t="shared" si="628"/>
        <v>0</v>
      </c>
      <c r="L2240" s="594"/>
      <c r="M2240" s="600"/>
      <c r="N2240" s="600">
        <v>0</v>
      </c>
      <c r="O2240" s="287">
        <f t="shared" si="639"/>
        <v>0</v>
      </c>
      <c r="P2240" s="287">
        <f t="shared" si="640"/>
        <v>0</v>
      </c>
      <c r="Q2240" s="288"/>
      <c r="R2240" s="311" t="str">
        <f>IF(P2236&gt;0,"xy","")</f>
        <v/>
      </c>
      <c r="S2240" s="378" t="str">
        <f t="shared" si="648"/>
        <v/>
      </c>
    </row>
    <row r="2241" spans="2:19" hidden="1" x14ac:dyDescent="0.2">
      <c r="B2241" s="771" t="s">
        <v>168</v>
      </c>
      <c r="C2241" s="596"/>
      <c r="D2241" s="383" t="s">
        <v>403</v>
      </c>
      <c r="E2241" s="704"/>
      <c r="F2241" s="661">
        <v>500</v>
      </c>
      <c r="G2241" s="665">
        <f>VLOOKUP(D2236,'ENSAIOS DE ORÇAMENTO'!$C$3:$L$79,10,FALSE)</f>
        <v>0</v>
      </c>
      <c r="H2241" s="663">
        <f>IF(F2241&lt;=30,(1.05*F2241+2.18)*G2241,((1.05*30+2.18)+0.87*(F2241-30))*G2241)</f>
        <v>0</v>
      </c>
      <c r="I2241" s="380"/>
      <c r="J2241" s="631"/>
      <c r="K2241" s="593">
        <f t="shared" si="628"/>
        <v>0</v>
      </c>
      <c r="L2241" s="594"/>
      <c r="M2241" s="600"/>
      <c r="N2241" s="600">
        <v>0</v>
      </c>
      <c r="O2241" s="287">
        <f t="shared" si="639"/>
        <v>0</v>
      </c>
      <c r="P2241" s="287">
        <f t="shared" si="640"/>
        <v>0</v>
      </c>
      <c r="Q2241" s="288"/>
      <c r="R2241" s="311" t="str">
        <f>IF(P2236&gt;0,"xy","")</f>
        <v/>
      </c>
      <c r="S2241" s="378" t="str">
        <f t="shared" si="648"/>
        <v/>
      </c>
    </row>
    <row r="2242" spans="2:19" hidden="1" x14ac:dyDescent="0.2">
      <c r="B2242" s="771" t="s">
        <v>35</v>
      </c>
      <c r="C2242" s="596" t="s">
        <v>207</v>
      </c>
      <c r="D2242" s="383" t="s">
        <v>109</v>
      </c>
      <c r="E2242" s="704"/>
      <c r="F2242" s="661"/>
      <c r="G2242" s="665"/>
      <c r="H2242" s="664">
        <f>SUM(H2243:H2247)</f>
        <v>430.09505572</v>
      </c>
      <c r="I2242" s="380">
        <f>VLOOKUP(D2242,'ENSAIOS DE ORÇAMENTO'!$C$3:$L$79,8,FALSE)</f>
        <v>4576.3760459999994</v>
      </c>
      <c r="J2242" s="631">
        <f t="shared" ref="J2242" si="650">IF(ISBLANK(I2242),"",SUM(H2242:I2242))</f>
        <v>5006.4711017199998</v>
      </c>
      <c r="K2242" s="593">
        <f t="shared" ref="K2242:K2305" si="651">IF(ISBLANK(I2242),0,ROUND(J2242*(1+$F$10)*(1+$F$11*E2242),2))</f>
        <v>6345.7</v>
      </c>
      <c r="L2242" s="594" t="s">
        <v>21</v>
      </c>
      <c r="M2242" s="30"/>
      <c r="N2242" s="30">
        <v>6345.7</v>
      </c>
      <c r="O2242" s="287">
        <f t="shared" si="639"/>
        <v>0</v>
      </c>
      <c r="P2242" s="287">
        <f t="shared" si="640"/>
        <v>0</v>
      </c>
      <c r="Q2242" s="288"/>
      <c r="S2242" s="378" t="str">
        <f t="shared" si="648"/>
        <v/>
      </c>
    </row>
    <row r="2243" spans="2:19" hidden="1" x14ac:dyDescent="0.2">
      <c r="B2243" s="771" t="s">
        <v>168</v>
      </c>
      <c r="C2243" s="596"/>
      <c r="D2243" s="383" t="s">
        <v>213</v>
      </c>
      <c r="E2243" s="704"/>
      <c r="F2243" s="661">
        <v>500</v>
      </c>
      <c r="G2243" s="665">
        <f>VLOOKUP(D2242,'ENSAIOS DE ORÇAMENTO'!$C$3:$L$79,4,FALSE)</f>
        <v>0.48940199999999995</v>
      </c>
      <c r="H2243" s="664">
        <f>IF(F2243&lt;=30,(0.75*F2243+6.29)*G2243,((0.75*30+6.29)+0.62*(F2243-30))*G2243)</f>
        <v>156.70162637999999</v>
      </c>
      <c r="I2243" s="380"/>
      <c r="J2243" s="631"/>
      <c r="K2243" s="593">
        <f t="shared" si="651"/>
        <v>0</v>
      </c>
      <c r="L2243" s="594"/>
      <c r="M2243" s="600"/>
      <c r="N2243" s="600">
        <v>0</v>
      </c>
      <c r="O2243" s="287">
        <f t="shared" si="639"/>
        <v>0</v>
      </c>
      <c r="P2243" s="287">
        <f t="shared" si="640"/>
        <v>0</v>
      </c>
      <c r="Q2243" s="288"/>
      <c r="R2243" s="311" t="str">
        <f>IF(P2242&gt;0,"xy","")</f>
        <v/>
      </c>
      <c r="S2243" s="378" t="str">
        <f t="shared" si="648"/>
        <v/>
      </c>
    </row>
    <row r="2244" spans="2:19" hidden="1" x14ac:dyDescent="0.2">
      <c r="B2244" s="771" t="s">
        <v>168</v>
      </c>
      <c r="C2244" s="596"/>
      <c r="D2244" s="383" t="s">
        <v>249</v>
      </c>
      <c r="E2244" s="704"/>
      <c r="F2244" s="661">
        <v>180</v>
      </c>
      <c r="G2244" s="665">
        <f>VLOOKUP(D2242,'ENSAIOS DE ORÇAMENTO'!$C$3:$L$79,5,FALSE)</f>
        <v>1.4252089999999999</v>
      </c>
      <c r="H2244" s="663">
        <f t="shared" ref="H2244" si="652">IF(F2244&lt;=30,(1.05*F2244+2.18)*G2244,((1.05*30+2.18)+0.87*(F2244-30))*G2244)</f>
        <v>233.99081362000001</v>
      </c>
      <c r="I2244" s="380"/>
      <c r="J2244" s="631"/>
      <c r="K2244" s="593">
        <f t="shared" si="651"/>
        <v>0</v>
      </c>
      <c r="L2244" s="594"/>
      <c r="M2244" s="600"/>
      <c r="N2244" s="600">
        <v>0</v>
      </c>
      <c r="O2244" s="287">
        <f t="shared" si="639"/>
        <v>0</v>
      </c>
      <c r="P2244" s="287">
        <f t="shared" si="640"/>
        <v>0</v>
      </c>
      <c r="Q2244" s="288"/>
      <c r="R2244" s="311" t="str">
        <f>IF(P2242&gt;0,"xy","")</f>
        <v/>
      </c>
      <c r="S2244" s="378" t="str">
        <f t="shared" si="648"/>
        <v/>
      </c>
    </row>
    <row r="2245" spans="2:19" hidden="1" x14ac:dyDescent="0.2">
      <c r="B2245" s="771" t="s">
        <v>168</v>
      </c>
      <c r="C2245" s="596"/>
      <c r="D2245" s="383" t="s">
        <v>253</v>
      </c>
      <c r="E2245" s="704"/>
      <c r="F2245" s="661">
        <v>20</v>
      </c>
      <c r="G2245" s="665">
        <f>VLOOKUP(D2242,'ENSAIOS DE ORÇAMENTO'!$C$3:$L$79,6,FALSE)</f>
        <v>1.699854</v>
      </c>
      <c r="H2245" s="663">
        <f>IF(F2245&lt;=30,(1.05*F2245+2.18)*G2245,((1.05*30+2.18)+0.87*(F2245-30))*G2245)</f>
        <v>39.40261572</v>
      </c>
      <c r="I2245" s="380"/>
      <c r="J2245" s="631"/>
      <c r="K2245" s="593">
        <f t="shared" si="651"/>
        <v>0</v>
      </c>
      <c r="L2245" s="594"/>
      <c r="M2245" s="600"/>
      <c r="N2245" s="600">
        <v>0</v>
      </c>
      <c r="O2245" s="287">
        <f t="shared" si="639"/>
        <v>0</v>
      </c>
      <c r="P2245" s="287">
        <f t="shared" si="640"/>
        <v>0</v>
      </c>
      <c r="Q2245" s="288"/>
      <c r="R2245" s="243" t="str">
        <f>IF(P2242&gt;0,"xy","")</f>
        <v/>
      </c>
      <c r="S2245" s="378" t="str">
        <f t="shared" si="648"/>
        <v/>
      </c>
    </row>
    <row r="2246" spans="2:19" hidden="1" x14ac:dyDescent="0.2">
      <c r="B2246" s="771" t="s">
        <v>168</v>
      </c>
      <c r="C2246" s="596"/>
      <c r="D2246" s="383" t="s">
        <v>402</v>
      </c>
      <c r="E2246" s="704"/>
      <c r="F2246" s="661">
        <v>30</v>
      </c>
      <c r="G2246" s="665">
        <f>VLOOKUP(D2242,'ENSAIOS DE ORÇAMENTO'!$C$3:$L$79,3,FALSE)</f>
        <v>0</v>
      </c>
      <c r="H2246" s="663">
        <f>IF(F2246&lt;=30,(1.05*F2246+2.18)*G2246,((1.05*30+2.18)+0.87*(F2246-30))*G2246)</f>
        <v>0</v>
      </c>
      <c r="I2246" s="380"/>
      <c r="J2246" s="631"/>
      <c r="K2246" s="593">
        <f t="shared" si="651"/>
        <v>0</v>
      </c>
      <c r="L2246" s="594"/>
      <c r="M2246" s="600"/>
      <c r="N2246" s="600">
        <v>0</v>
      </c>
      <c r="O2246" s="287">
        <f t="shared" si="639"/>
        <v>0</v>
      </c>
      <c r="P2246" s="287">
        <f t="shared" si="640"/>
        <v>0</v>
      </c>
      <c r="Q2246" s="288"/>
      <c r="R2246" s="311" t="str">
        <f>IF(P2242&gt;0,"xy","")</f>
        <v/>
      </c>
      <c r="S2246" s="378" t="str">
        <f t="shared" si="648"/>
        <v/>
      </c>
    </row>
    <row r="2247" spans="2:19" hidden="1" x14ac:dyDescent="0.2">
      <c r="B2247" s="771" t="s">
        <v>168</v>
      </c>
      <c r="C2247" s="596"/>
      <c r="D2247" s="383" t="s">
        <v>403</v>
      </c>
      <c r="E2247" s="704"/>
      <c r="F2247" s="661">
        <v>500</v>
      </c>
      <c r="G2247" s="665">
        <f>VLOOKUP(D2242,'ENSAIOS DE ORÇAMENTO'!$C$3:$L$79,10,FALSE)</f>
        <v>0</v>
      </c>
      <c r="H2247" s="663">
        <f>IF(F2247&lt;=30,(1.05*F2247+2.18)*G2247,((1.05*30+2.18)+0.87*(F2247-30))*G2247)</f>
        <v>0</v>
      </c>
      <c r="I2247" s="380"/>
      <c r="J2247" s="631"/>
      <c r="K2247" s="593">
        <f t="shared" si="651"/>
        <v>0</v>
      </c>
      <c r="L2247" s="594"/>
      <c r="M2247" s="600"/>
      <c r="N2247" s="600">
        <v>0</v>
      </c>
      <c r="O2247" s="287">
        <f t="shared" si="639"/>
        <v>0</v>
      </c>
      <c r="P2247" s="287">
        <f t="shared" si="640"/>
        <v>0</v>
      </c>
      <c r="Q2247" s="288"/>
      <c r="R2247" s="311" t="str">
        <f>IF(P2242&gt;0,"xy","")</f>
        <v/>
      </c>
      <c r="S2247" s="378" t="str">
        <f t="shared" si="648"/>
        <v/>
      </c>
    </row>
    <row r="2248" spans="2:19" hidden="1" x14ac:dyDescent="0.2">
      <c r="B2248" s="771" t="s">
        <v>123</v>
      </c>
      <c r="C2248" s="596" t="s">
        <v>207</v>
      </c>
      <c r="D2248" s="383" t="s">
        <v>110</v>
      </c>
      <c r="E2248" s="704"/>
      <c r="F2248" s="661"/>
      <c r="G2248" s="665"/>
      <c r="H2248" s="664">
        <f>SUM(H2249:H2253)</f>
        <v>569.70058203999997</v>
      </c>
      <c r="I2248" s="380">
        <f>VLOOKUP(D2248,'ENSAIOS DE ORÇAMENTO'!$C$3:$L$79,8,FALSE)</f>
        <v>5046.1664359999995</v>
      </c>
      <c r="J2248" s="631">
        <f t="shared" ref="J2248" si="653">IF(ISBLANK(I2248),"",SUM(H2248:I2248))</f>
        <v>5615.8670180399995</v>
      </c>
      <c r="K2248" s="593">
        <f t="shared" si="651"/>
        <v>7118.11</v>
      </c>
      <c r="L2248" s="594" t="s">
        <v>21</v>
      </c>
      <c r="M2248" s="30"/>
      <c r="N2248" s="30">
        <v>7118.11</v>
      </c>
      <c r="O2248" s="287">
        <f t="shared" si="639"/>
        <v>0</v>
      </c>
      <c r="P2248" s="287">
        <f t="shared" si="640"/>
        <v>0</v>
      </c>
      <c r="Q2248" s="288"/>
      <c r="S2248" s="378" t="str">
        <f t="shared" si="648"/>
        <v/>
      </c>
    </row>
    <row r="2249" spans="2:19" hidden="1" x14ac:dyDescent="0.2">
      <c r="B2249" s="771" t="s">
        <v>168</v>
      </c>
      <c r="C2249" s="596"/>
      <c r="D2249" s="383" t="s">
        <v>213</v>
      </c>
      <c r="E2249" s="704"/>
      <c r="F2249" s="661">
        <v>500</v>
      </c>
      <c r="G2249" s="665">
        <f>VLOOKUP(D2248,'ENSAIOS DE ORÇAMENTO'!$C$3:$L$79,4,FALSE)</f>
        <v>0.65242199999999995</v>
      </c>
      <c r="H2249" s="664">
        <f>IF(F2249&lt;=30,(0.75*F2249+6.29)*G2249,((0.75*30+6.29)+0.62*(F2249-30))*G2249)</f>
        <v>208.89900017999997</v>
      </c>
      <c r="I2249" s="380"/>
      <c r="J2249" s="631"/>
      <c r="K2249" s="593">
        <f t="shared" si="651"/>
        <v>0</v>
      </c>
      <c r="L2249" s="594"/>
      <c r="M2249" s="600"/>
      <c r="N2249" s="600">
        <v>0</v>
      </c>
      <c r="O2249" s="287">
        <f t="shared" si="639"/>
        <v>0</v>
      </c>
      <c r="P2249" s="287">
        <f t="shared" si="640"/>
        <v>0</v>
      </c>
      <c r="Q2249" s="288"/>
      <c r="R2249" s="311" t="str">
        <f>IF(P2248&gt;0,"xy","")</f>
        <v/>
      </c>
      <c r="S2249" s="378" t="str">
        <f t="shared" si="648"/>
        <v/>
      </c>
    </row>
    <row r="2250" spans="2:19" hidden="1" x14ac:dyDescent="0.2">
      <c r="B2250" s="771" t="s">
        <v>168</v>
      </c>
      <c r="C2250" s="596"/>
      <c r="D2250" s="383" t="s">
        <v>249</v>
      </c>
      <c r="E2250" s="704"/>
      <c r="F2250" s="661">
        <v>180</v>
      </c>
      <c r="G2250" s="665">
        <f>VLOOKUP(D2248,'ENSAIOS DE ORÇAMENTO'!$C$3:$L$79,5,FALSE)</f>
        <v>1.8801829999999999</v>
      </c>
      <c r="H2250" s="663">
        <f t="shared" ref="H2250" si="654">IF(F2250&lt;=30,(1.05*F2250+2.18)*G2250,((1.05*30+2.18)+0.87*(F2250-30))*G2250)</f>
        <v>308.68844494000001</v>
      </c>
      <c r="I2250" s="380"/>
      <c r="J2250" s="631"/>
      <c r="K2250" s="593">
        <f t="shared" si="651"/>
        <v>0</v>
      </c>
      <c r="L2250" s="594"/>
      <c r="M2250" s="600"/>
      <c r="N2250" s="600">
        <v>0</v>
      </c>
      <c r="O2250" s="287">
        <f t="shared" si="639"/>
        <v>0</v>
      </c>
      <c r="P2250" s="287">
        <f t="shared" si="640"/>
        <v>0</v>
      </c>
      <c r="Q2250" s="288"/>
      <c r="R2250" s="311" t="str">
        <f>IF(P2248&gt;0,"xy","")</f>
        <v/>
      </c>
      <c r="S2250" s="378" t="str">
        <f t="shared" si="648"/>
        <v/>
      </c>
    </row>
    <row r="2251" spans="2:19" hidden="1" x14ac:dyDescent="0.2">
      <c r="B2251" s="771" t="s">
        <v>168</v>
      </c>
      <c r="C2251" s="596"/>
      <c r="D2251" s="383" t="s">
        <v>253</v>
      </c>
      <c r="E2251" s="704"/>
      <c r="F2251" s="661">
        <v>20</v>
      </c>
      <c r="G2251" s="665">
        <f>VLOOKUP(D2248,'ENSAIOS DE ORÇAMENTO'!$C$3:$L$79,6,FALSE)</f>
        <v>2.2481940000000002</v>
      </c>
      <c r="H2251" s="663">
        <f>IF(F2251&lt;=30,(1.05*F2251+2.18)*G2251,((1.05*30+2.18)+0.87*(F2251-30))*G2251)</f>
        <v>52.113136920000002</v>
      </c>
      <c r="I2251" s="380"/>
      <c r="J2251" s="631"/>
      <c r="K2251" s="593">
        <f t="shared" si="651"/>
        <v>0</v>
      </c>
      <c r="L2251" s="594"/>
      <c r="M2251" s="600"/>
      <c r="N2251" s="600">
        <v>0</v>
      </c>
      <c r="O2251" s="287">
        <f t="shared" si="639"/>
        <v>0</v>
      </c>
      <c r="P2251" s="287">
        <f t="shared" si="640"/>
        <v>0</v>
      </c>
      <c r="Q2251" s="288"/>
      <c r="R2251" s="243" t="str">
        <f>IF(P2248&gt;0,"xy","")</f>
        <v/>
      </c>
      <c r="S2251" s="378" t="str">
        <f t="shared" si="648"/>
        <v/>
      </c>
    </row>
    <row r="2252" spans="2:19" hidden="1" x14ac:dyDescent="0.2">
      <c r="B2252" s="771" t="s">
        <v>168</v>
      </c>
      <c r="C2252" s="596"/>
      <c r="D2252" s="383" t="s">
        <v>402</v>
      </c>
      <c r="E2252" s="704"/>
      <c r="F2252" s="661">
        <v>30</v>
      </c>
      <c r="G2252" s="665">
        <f>VLOOKUP(D2248,'ENSAIOS DE ORÇAMENTO'!$C$3:$L$79,3,FALSE)</f>
        <v>0</v>
      </c>
      <c r="H2252" s="663">
        <f>IF(F2252&lt;=30,(1.05*F2252+2.18)*G2252,((1.05*30+2.18)+0.87*(F2252-30))*G2252)</f>
        <v>0</v>
      </c>
      <c r="I2252" s="380"/>
      <c r="J2252" s="631"/>
      <c r="K2252" s="593">
        <f t="shared" si="651"/>
        <v>0</v>
      </c>
      <c r="L2252" s="594"/>
      <c r="M2252" s="600"/>
      <c r="N2252" s="600">
        <v>0</v>
      </c>
      <c r="O2252" s="287">
        <f t="shared" si="639"/>
        <v>0</v>
      </c>
      <c r="P2252" s="287">
        <f t="shared" si="640"/>
        <v>0</v>
      </c>
      <c r="Q2252" s="288"/>
      <c r="R2252" s="311" t="str">
        <f>IF(P2248&gt;0,"xy","")</f>
        <v/>
      </c>
      <c r="S2252" s="378" t="str">
        <f t="shared" si="648"/>
        <v/>
      </c>
    </row>
    <row r="2253" spans="2:19" hidden="1" x14ac:dyDescent="0.2">
      <c r="B2253" s="771" t="s">
        <v>168</v>
      </c>
      <c r="C2253" s="596"/>
      <c r="D2253" s="383" t="s">
        <v>403</v>
      </c>
      <c r="E2253" s="704"/>
      <c r="F2253" s="661">
        <v>500</v>
      </c>
      <c r="G2253" s="665">
        <f>VLOOKUP(D2248,'ENSAIOS DE ORÇAMENTO'!$C$3:$L$79,10,FALSE)</f>
        <v>0</v>
      </c>
      <c r="H2253" s="663">
        <f>IF(F2253&lt;=30,(1.05*F2253+2.18)*G2253,((1.05*30+2.18)+0.87*(F2253-30))*G2253)</f>
        <v>0</v>
      </c>
      <c r="I2253" s="380"/>
      <c r="J2253" s="631"/>
      <c r="K2253" s="593">
        <f t="shared" si="651"/>
        <v>0</v>
      </c>
      <c r="L2253" s="594"/>
      <c r="M2253" s="600"/>
      <c r="N2253" s="600">
        <v>0</v>
      </c>
      <c r="O2253" s="287">
        <f t="shared" si="639"/>
        <v>0</v>
      </c>
      <c r="P2253" s="287">
        <f t="shared" si="640"/>
        <v>0</v>
      </c>
      <c r="Q2253" s="288"/>
      <c r="R2253" s="311" t="str">
        <f>IF(P2248&gt;0,"xy","")</f>
        <v/>
      </c>
      <c r="S2253" s="378" t="str">
        <f t="shared" si="648"/>
        <v/>
      </c>
    </row>
    <row r="2254" spans="2:19" hidden="1" x14ac:dyDescent="0.2">
      <c r="B2254" s="771" t="s">
        <v>124</v>
      </c>
      <c r="C2254" s="596" t="s">
        <v>207</v>
      </c>
      <c r="D2254" s="383" t="s">
        <v>111</v>
      </c>
      <c r="E2254" s="704"/>
      <c r="F2254" s="661"/>
      <c r="G2254" s="665"/>
      <c r="H2254" s="664">
        <f>SUM(H2255:H2259)</f>
        <v>709.30610835999994</v>
      </c>
      <c r="I2254" s="380">
        <f>VLOOKUP(D2254,'ENSAIOS DE ORÇAMENTO'!$C$3:$L$79,8,FALSE)</f>
        <v>6146.442376</v>
      </c>
      <c r="J2254" s="631">
        <f t="shared" ref="J2254" si="655">IF(ISBLANK(I2254),"",SUM(H2254:I2254))</f>
        <v>6855.7484843599996</v>
      </c>
      <c r="K2254" s="593">
        <f t="shared" si="651"/>
        <v>8689.66</v>
      </c>
      <c r="L2254" s="594" t="s">
        <v>21</v>
      </c>
      <c r="M2254" s="30"/>
      <c r="N2254" s="30">
        <v>8689.66</v>
      </c>
      <c r="O2254" s="287">
        <f t="shared" si="639"/>
        <v>0</v>
      </c>
      <c r="P2254" s="287">
        <f t="shared" si="640"/>
        <v>0</v>
      </c>
      <c r="Q2254" s="288"/>
      <c r="S2254" s="378" t="str">
        <f t="shared" si="648"/>
        <v/>
      </c>
    </row>
    <row r="2255" spans="2:19" hidden="1" x14ac:dyDescent="0.2">
      <c r="B2255" s="771" t="s">
        <v>168</v>
      </c>
      <c r="C2255" s="596"/>
      <c r="D2255" s="383" t="s">
        <v>213</v>
      </c>
      <c r="E2255" s="704"/>
      <c r="F2255" s="661">
        <v>500</v>
      </c>
      <c r="G2255" s="665">
        <f>VLOOKUP(D2254,'ENSAIOS DE ORÇAMENTO'!$C$3:$L$79,4,FALSE)</f>
        <v>0.81544199999999989</v>
      </c>
      <c r="H2255" s="664">
        <f>IF(F2255&lt;=30,(0.75*F2255+6.29)*G2255,((0.75*30+6.29)+0.62*(F2255-30))*G2255)</f>
        <v>261.09637397999995</v>
      </c>
      <c r="I2255" s="380"/>
      <c r="J2255" s="631"/>
      <c r="K2255" s="593">
        <f t="shared" si="651"/>
        <v>0</v>
      </c>
      <c r="L2255" s="594"/>
      <c r="M2255" s="600"/>
      <c r="N2255" s="600">
        <v>0</v>
      </c>
      <c r="O2255" s="287">
        <f t="shared" si="639"/>
        <v>0</v>
      </c>
      <c r="P2255" s="287">
        <f t="shared" si="640"/>
        <v>0</v>
      </c>
      <c r="Q2255" s="288"/>
      <c r="R2255" s="311" t="str">
        <f>IF(P2254&gt;0,"xy","")</f>
        <v/>
      </c>
      <c r="S2255" s="378" t="str">
        <f t="shared" si="648"/>
        <v/>
      </c>
    </row>
    <row r="2256" spans="2:19" hidden="1" x14ac:dyDescent="0.2">
      <c r="B2256" s="771" t="s">
        <v>168</v>
      </c>
      <c r="C2256" s="596"/>
      <c r="D2256" s="383" t="s">
        <v>249</v>
      </c>
      <c r="E2256" s="704"/>
      <c r="F2256" s="661">
        <v>180</v>
      </c>
      <c r="G2256" s="665">
        <f>VLOOKUP(D2254,'ENSAIOS DE ORÇAMENTO'!$C$3:$L$79,5,FALSE)</f>
        <v>2.3351569999999997</v>
      </c>
      <c r="H2256" s="663">
        <f t="shared" ref="H2256" si="656">IF(F2256&lt;=30,(1.05*F2256+2.18)*G2256,((1.05*30+2.18)+0.87*(F2256-30))*G2256)</f>
        <v>383.38607625999998</v>
      </c>
      <c r="I2256" s="380"/>
      <c r="J2256" s="631"/>
      <c r="K2256" s="593">
        <f t="shared" si="651"/>
        <v>0</v>
      </c>
      <c r="L2256" s="594"/>
      <c r="M2256" s="600"/>
      <c r="N2256" s="600">
        <v>0</v>
      </c>
      <c r="O2256" s="287">
        <f t="shared" si="639"/>
        <v>0</v>
      </c>
      <c r="P2256" s="287">
        <f t="shared" si="640"/>
        <v>0</v>
      </c>
      <c r="Q2256" s="288"/>
      <c r="R2256" s="311" t="str">
        <f>IF(P2254&gt;0,"xy","")</f>
        <v/>
      </c>
      <c r="S2256" s="378" t="str">
        <f t="shared" si="648"/>
        <v/>
      </c>
    </row>
    <row r="2257" spans="2:19" hidden="1" x14ac:dyDescent="0.2">
      <c r="B2257" s="771" t="s">
        <v>168</v>
      </c>
      <c r="C2257" s="596"/>
      <c r="D2257" s="383" t="s">
        <v>253</v>
      </c>
      <c r="E2257" s="704"/>
      <c r="F2257" s="661">
        <v>20</v>
      </c>
      <c r="G2257" s="665">
        <f>VLOOKUP(D2254,'ENSAIOS DE ORÇAMENTO'!$C$3:$L$79,6,FALSE)</f>
        <v>2.7965340000000003</v>
      </c>
      <c r="H2257" s="663">
        <f>IF(F2257&lt;=30,(1.05*F2257+2.18)*G2257,((1.05*30+2.18)+0.87*(F2257-30))*G2257)</f>
        <v>64.823658120000005</v>
      </c>
      <c r="I2257" s="380"/>
      <c r="J2257" s="631"/>
      <c r="K2257" s="593">
        <f t="shared" si="651"/>
        <v>0</v>
      </c>
      <c r="L2257" s="594"/>
      <c r="M2257" s="600"/>
      <c r="N2257" s="600">
        <v>0</v>
      </c>
      <c r="O2257" s="287">
        <f t="shared" si="639"/>
        <v>0</v>
      </c>
      <c r="P2257" s="287">
        <f t="shared" si="640"/>
        <v>0</v>
      </c>
      <c r="Q2257" s="288"/>
      <c r="R2257" s="243" t="str">
        <f>IF(P2254&gt;0,"xy","")</f>
        <v/>
      </c>
      <c r="S2257" s="378" t="str">
        <f t="shared" si="648"/>
        <v/>
      </c>
    </row>
    <row r="2258" spans="2:19" hidden="1" x14ac:dyDescent="0.2">
      <c r="B2258" s="771" t="s">
        <v>168</v>
      </c>
      <c r="C2258" s="596"/>
      <c r="D2258" s="383" t="s">
        <v>402</v>
      </c>
      <c r="E2258" s="704"/>
      <c r="F2258" s="661">
        <v>30</v>
      </c>
      <c r="G2258" s="665">
        <f>VLOOKUP(D2254,'ENSAIOS DE ORÇAMENTO'!$C$3:$L$79,3,FALSE)</f>
        <v>0</v>
      </c>
      <c r="H2258" s="663">
        <f>IF(F2258&lt;=30,(1.05*F2258+2.18)*G2258,((1.05*30+2.18)+0.87*(F2258-30))*G2258)</f>
        <v>0</v>
      </c>
      <c r="I2258" s="380"/>
      <c r="J2258" s="631"/>
      <c r="K2258" s="593">
        <f t="shared" si="651"/>
        <v>0</v>
      </c>
      <c r="L2258" s="594"/>
      <c r="M2258" s="600"/>
      <c r="N2258" s="600">
        <v>0</v>
      </c>
      <c r="O2258" s="287">
        <f t="shared" si="639"/>
        <v>0</v>
      </c>
      <c r="P2258" s="287">
        <f t="shared" si="640"/>
        <v>0</v>
      </c>
      <c r="Q2258" s="288"/>
      <c r="R2258" s="311" t="str">
        <f>IF(P2254&gt;0,"xy","")</f>
        <v/>
      </c>
      <c r="S2258" s="378" t="str">
        <f t="shared" si="648"/>
        <v/>
      </c>
    </row>
    <row r="2259" spans="2:19" hidden="1" x14ac:dyDescent="0.2">
      <c r="B2259" s="771" t="s">
        <v>168</v>
      </c>
      <c r="C2259" s="596"/>
      <c r="D2259" s="383" t="s">
        <v>403</v>
      </c>
      <c r="E2259" s="704"/>
      <c r="F2259" s="661">
        <v>500</v>
      </c>
      <c r="G2259" s="665">
        <f>VLOOKUP(D2254,'ENSAIOS DE ORÇAMENTO'!$C$3:$L$79,10,FALSE)</f>
        <v>0</v>
      </c>
      <c r="H2259" s="663">
        <f>IF(F2259&lt;=30,(1.05*F2259+2.18)*G2259,((1.05*30+2.18)+0.87*(F2259-30))*G2259)</f>
        <v>0</v>
      </c>
      <c r="I2259" s="380"/>
      <c r="J2259" s="631"/>
      <c r="K2259" s="593">
        <f t="shared" si="651"/>
        <v>0</v>
      </c>
      <c r="L2259" s="594"/>
      <c r="M2259" s="600"/>
      <c r="N2259" s="600">
        <v>0</v>
      </c>
      <c r="O2259" s="287">
        <f t="shared" si="639"/>
        <v>0</v>
      </c>
      <c r="P2259" s="287">
        <f t="shared" si="640"/>
        <v>0</v>
      </c>
      <c r="Q2259" s="288"/>
      <c r="R2259" s="311" t="str">
        <f>IF(P2254&gt;0,"xy","")</f>
        <v/>
      </c>
      <c r="S2259" s="378" t="str">
        <f t="shared" si="648"/>
        <v/>
      </c>
    </row>
    <row r="2260" spans="2:19" hidden="1" x14ac:dyDescent="0.2">
      <c r="B2260" s="771" t="s">
        <v>125</v>
      </c>
      <c r="C2260" s="596" t="s">
        <v>207</v>
      </c>
      <c r="D2260" s="383" t="s">
        <v>99</v>
      </c>
      <c r="E2260" s="704"/>
      <c r="F2260" s="661"/>
      <c r="G2260" s="665"/>
      <c r="H2260" s="664">
        <f>SUM(H2261:H2265)</f>
        <v>106.665599445504</v>
      </c>
      <c r="I2260" s="380">
        <f>VLOOKUP(D2260,'ENSAIOS DE ORÇAMENTO'!$C$3:$L$79,8,FALSE)</f>
        <v>445.86099423999985</v>
      </c>
      <c r="J2260" s="631">
        <f t="shared" ref="J2260" si="657">IF(ISBLANK(I2260),"",SUM(H2260:I2260))</f>
        <v>552.52659368550383</v>
      </c>
      <c r="K2260" s="593">
        <f t="shared" si="651"/>
        <v>700.33</v>
      </c>
      <c r="L2260" s="594" t="s">
        <v>21</v>
      </c>
      <c r="M2260" s="30"/>
      <c r="N2260" s="30">
        <v>700.33</v>
      </c>
      <c r="O2260" s="287">
        <f t="shared" si="639"/>
        <v>0</v>
      </c>
      <c r="P2260" s="287">
        <f t="shared" si="640"/>
        <v>0</v>
      </c>
      <c r="Q2260" s="288"/>
      <c r="S2260" s="378" t="str">
        <f t="shared" si="648"/>
        <v/>
      </c>
    </row>
    <row r="2261" spans="2:19" hidden="1" x14ac:dyDescent="0.2">
      <c r="B2261" s="771" t="s">
        <v>168</v>
      </c>
      <c r="C2261" s="596"/>
      <c r="D2261" s="383" t="s">
        <v>213</v>
      </c>
      <c r="E2261" s="704"/>
      <c r="F2261" s="661">
        <v>500</v>
      </c>
      <c r="G2261" s="665">
        <f>VLOOKUP(D2260,'ENSAIOS DE ORÇAMENTO'!$C$3:$L$79,4,FALSE)</f>
        <v>9.9453823999999996E-2</v>
      </c>
      <c r="H2261" s="664">
        <f>IF(F2261&lt;=30,(0.75*F2261+6.29)*G2261,((0.75*30+6.29)+0.62*(F2261-30))*G2261)</f>
        <v>31.84411990656</v>
      </c>
      <c r="I2261" s="380"/>
      <c r="J2261" s="631"/>
      <c r="K2261" s="593">
        <f t="shared" si="651"/>
        <v>0</v>
      </c>
      <c r="L2261" s="594"/>
      <c r="M2261" s="600"/>
      <c r="N2261" s="600">
        <v>0</v>
      </c>
      <c r="O2261" s="287">
        <f t="shared" si="639"/>
        <v>0</v>
      </c>
      <c r="P2261" s="287">
        <f t="shared" si="640"/>
        <v>0</v>
      </c>
      <c r="Q2261" s="288"/>
      <c r="R2261" s="311" t="str">
        <f>IF(P2260&gt;0,"xy","")</f>
        <v/>
      </c>
      <c r="S2261" s="378" t="str">
        <f t="shared" si="648"/>
        <v/>
      </c>
    </row>
    <row r="2262" spans="2:19" hidden="1" x14ac:dyDescent="0.2">
      <c r="B2262" s="771" t="s">
        <v>168</v>
      </c>
      <c r="C2262" s="596"/>
      <c r="D2262" s="383" t="s">
        <v>249</v>
      </c>
      <c r="E2262" s="704"/>
      <c r="F2262" s="661">
        <v>180</v>
      </c>
      <c r="G2262" s="665">
        <f>VLOOKUP(D2260,'ENSAIOS DE ORÇAMENTO'!$C$3:$L$79,5,FALSE)</f>
        <v>0.3618486528</v>
      </c>
      <c r="H2262" s="663">
        <f t="shared" ref="H2262" si="658">IF(F2262&lt;=30,(1.05*F2262+2.18)*G2262,((1.05*30+2.18)+0.87*(F2262-30))*G2262)</f>
        <v>59.408311816704</v>
      </c>
      <c r="I2262" s="380"/>
      <c r="J2262" s="631"/>
      <c r="K2262" s="593">
        <f t="shared" si="651"/>
        <v>0</v>
      </c>
      <c r="L2262" s="594"/>
      <c r="M2262" s="600"/>
      <c r="N2262" s="600">
        <v>0</v>
      </c>
      <c r="O2262" s="287">
        <f t="shared" si="639"/>
        <v>0</v>
      </c>
      <c r="P2262" s="287">
        <f t="shared" si="640"/>
        <v>0</v>
      </c>
      <c r="Q2262" s="288"/>
      <c r="R2262" s="311" t="str">
        <f>IF(P2260&gt;0,"xy","")</f>
        <v/>
      </c>
      <c r="S2262" s="378" t="str">
        <f t="shared" si="648"/>
        <v/>
      </c>
    </row>
    <row r="2263" spans="2:19" hidden="1" x14ac:dyDescent="0.2">
      <c r="B2263" s="771" t="s">
        <v>168</v>
      </c>
      <c r="C2263" s="596"/>
      <c r="D2263" s="383" t="s">
        <v>253</v>
      </c>
      <c r="E2263" s="704"/>
      <c r="F2263" s="661">
        <v>20</v>
      </c>
      <c r="G2263" s="665">
        <f>VLOOKUP(D2260,'ENSAIOS DE ORÇAMENTO'!$C$3:$L$79,6,FALSE)</f>
        <v>0.308576448</v>
      </c>
      <c r="H2263" s="663">
        <f>IF(F2263&lt;=30,(1.05*F2263+2.18)*G2263,((1.05*30+2.18)+0.87*(F2263-30))*G2263)</f>
        <v>7.1528020646400003</v>
      </c>
      <c r="I2263" s="380"/>
      <c r="J2263" s="631"/>
      <c r="K2263" s="593">
        <f t="shared" si="651"/>
        <v>0</v>
      </c>
      <c r="L2263" s="594"/>
      <c r="M2263" s="600"/>
      <c r="N2263" s="600">
        <v>0</v>
      </c>
      <c r="O2263" s="287">
        <f t="shared" si="639"/>
        <v>0</v>
      </c>
      <c r="P2263" s="287">
        <f t="shared" si="640"/>
        <v>0</v>
      </c>
      <c r="Q2263" s="288"/>
      <c r="R2263" s="243" t="str">
        <f>IF(P2260&gt;0,"xy","")</f>
        <v/>
      </c>
      <c r="S2263" s="378" t="str">
        <f t="shared" si="648"/>
        <v/>
      </c>
    </row>
    <row r="2264" spans="2:19" hidden="1" x14ac:dyDescent="0.2">
      <c r="B2264" s="771" t="s">
        <v>168</v>
      </c>
      <c r="C2264" s="596"/>
      <c r="D2264" s="383" t="s">
        <v>402</v>
      </c>
      <c r="E2264" s="704"/>
      <c r="F2264" s="661">
        <v>30</v>
      </c>
      <c r="G2264" s="665">
        <f>VLOOKUP(D2260,'ENSAIOS DE ORÇAMENTO'!$C$3:$L$79,3,FALSE)</f>
        <v>0.17055359999999997</v>
      </c>
      <c r="H2264" s="663">
        <f>IF(F2264&lt;=30,(1.05*F2264+2.18)*G2264,((1.05*30+2.18)+0.87*(F2264-30))*G2264)</f>
        <v>5.7442452479999986</v>
      </c>
      <c r="I2264" s="380"/>
      <c r="J2264" s="631"/>
      <c r="K2264" s="593">
        <f t="shared" si="651"/>
        <v>0</v>
      </c>
      <c r="L2264" s="594"/>
      <c r="M2264" s="600"/>
      <c r="N2264" s="600">
        <v>0</v>
      </c>
      <c r="O2264" s="287">
        <f t="shared" si="639"/>
        <v>0</v>
      </c>
      <c r="P2264" s="287">
        <f t="shared" si="640"/>
        <v>0</v>
      </c>
      <c r="Q2264" s="288"/>
      <c r="R2264" s="311" t="str">
        <f>IF(P2260&gt;0,"xy","")</f>
        <v/>
      </c>
      <c r="S2264" s="378" t="str">
        <f t="shared" si="648"/>
        <v/>
      </c>
    </row>
    <row r="2265" spans="2:19" hidden="1" x14ac:dyDescent="0.2">
      <c r="B2265" s="771" t="s">
        <v>168</v>
      </c>
      <c r="C2265" s="596"/>
      <c r="D2265" s="383" t="s">
        <v>403</v>
      </c>
      <c r="E2265" s="704"/>
      <c r="F2265" s="661">
        <v>500</v>
      </c>
      <c r="G2265" s="665">
        <f>VLOOKUP(D2260,'ENSAIOS DE ORÇAMENTO'!$C$3:$L$79,10,FALSE)</f>
        <v>5.6851199999999992E-3</v>
      </c>
      <c r="H2265" s="663">
        <f>IF(F2265&lt;=30,(1.05*F2265+2.18)*G2265,((1.05*30+2.18)+0.87*(F2265-30))*G2265)</f>
        <v>2.5161204095999996</v>
      </c>
      <c r="I2265" s="380"/>
      <c r="J2265" s="631"/>
      <c r="K2265" s="593">
        <f t="shared" si="651"/>
        <v>0</v>
      </c>
      <c r="L2265" s="594"/>
      <c r="M2265" s="600"/>
      <c r="N2265" s="600">
        <v>0</v>
      </c>
      <c r="O2265" s="287">
        <f t="shared" si="639"/>
        <v>0</v>
      </c>
      <c r="P2265" s="287">
        <f t="shared" si="640"/>
        <v>0</v>
      </c>
      <c r="Q2265" s="288"/>
      <c r="R2265" s="311" t="str">
        <f>IF(P2260&gt;0,"xy","")</f>
        <v/>
      </c>
      <c r="S2265" s="378" t="str">
        <f t="shared" si="648"/>
        <v/>
      </c>
    </row>
    <row r="2266" spans="2:19" x14ac:dyDescent="0.2">
      <c r="B2266" s="771" t="s">
        <v>36</v>
      </c>
      <c r="C2266" s="596" t="s">
        <v>207</v>
      </c>
      <c r="D2266" s="383" t="s">
        <v>100</v>
      </c>
      <c r="E2266" s="704"/>
      <c r="F2266" s="661"/>
      <c r="G2266" s="665"/>
      <c r="H2266" s="664">
        <f>SUM(H2267:H2271)</f>
        <v>32.94476186152</v>
      </c>
      <c r="I2266" s="380">
        <f>VLOOKUP(D2266,'ENSAIOS DE ORÇAMENTO'!$C$3:$L$79,8,FALSE)</f>
        <v>679.67930079999996</v>
      </c>
      <c r="J2266" s="631">
        <f t="shared" ref="J2266" si="659">IF(ISBLANK(I2266),"",SUM(H2266:I2266))</f>
        <v>712.62406266151993</v>
      </c>
      <c r="K2266" s="593">
        <f t="shared" si="651"/>
        <v>903.25</v>
      </c>
      <c r="L2266" s="594" t="s">
        <v>21</v>
      </c>
      <c r="M2266" s="30">
        <v>5</v>
      </c>
      <c r="N2266" s="30">
        <v>903.25</v>
      </c>
      <c r="O2266" s="287">
        <f t="shared" si="639"/>
        <v>4516.25</v>
      </c>
      <c r="P2266" s="287">
        <f t="shared" si="640"/>
        <v>4516.25</v>
      </c>
      <c r="Q2266" s="288"/>
      <c r="S2266" s="378" t="str">
        <f t="shared" si="648"/>
        <v>x</v>
      </c>
    </row>
    <row r="2267" spans="2:19" x14ac:dyDescent="0.2">
      <c r="B2267" s="771" t="s">
        <v>168</v>
      </c>
      <c r="C2267" s="596"/>
      <c r="D2267" s="383" t="s">
        <v>213</v>
      </c>
      <c r="E2267" s="704"/>
      <c r="F2267" s="661">
        <v>7.77</v>
      </c>
      <c r="G2267" s="665">
        <f>VLOOKUP(D2266,'ENSAIOS DE ORÇAMENTO'!$C$3:$L$79,4,FALSE)</f>
        <v>0.14735024000000002</v>
      </c>
      <c r="H2267" s="664">
        <f>IF(F2267&lt;=30,(0.75*F2267+6.29)*G2267,((0.75*30+6.29)+0.62*(F2267-30))*G2267)</f>
        <v>1.7855165332000003</v>
      </c>
      <c r="I2267" s="380"/>
      <c r="J2267" s="631"/>
      <c r="K2267" s="593">
        <f t="shared" si="651"/>
        <v>0</v>
      </c>
      <c r="L2267" s="594"/>
      <c r="M2267" s="600"/>
      <c r="N2267" s="600">
        <v>0</v>
      </c>
      <c r="O2267" s="287">
        <f t="shared" si="639"/>
        <v>0</v>
      </c>
      <c r="P2267" s="287">
        <f t="shared" si="640"/>
        <v>0</v>
      </c>
      <c r="Q2267" s="288"/>
      <c r="R2267" s="311" t="str">
        <f>IF(P2266&gt;0,"xy","")</f>
        <v>xy</v>
      </c>
      <c r="S2267" s="378" t="str">
        <f t="shared" si="648"/>
        <v>x</v>
      </c>
    </row>
    <row r="2268" spans="2:19" x14ac:dyDescent="0.2">
      <c r="B2268" s="771" t="s">
        <v>168</v>
      </c>
      <c r="C2268" s="596"/>
      <c r="D2268" s="383" t="s">
        <v>249</v>
      </c>
      <c r="E2268" s="704"/>
      <c r="F2268" s="661">
        <v>23.8</v>
      </c>
      <c r="G2268" s="665">
        <f>VLOOKUP(D2266,'ENSAIOS DE ORÇAMENTO'!$C$3:$L$79,5,FALSE)</f>
        <v>0.52819569600000005</v>
      </c>
      <c r="H2268" s="663">
        <f t="shared" ref="H2268" si="660">IF(F2268&lt;=30,(1.05*F2268+2.18)*G2268,((1.05*30+2.18)+0.87*(F2268-30))*G2268)</f>
        <v>14.351077060320002</v>
      </c>
      <c r="I2268" s="380"/>
      <c r="J2268" s="631"/>
      <c r="K2268" s="593">
        <f t="shared" si="651"/>
        <v>0</v>
      </c>
      <c r="L2268" s="594"/>
      <c r="M2268" s="600"/>
      <c r="N2268" s="600">
        <v>0</v>
      </c>
      <c r="O2268" s="287">
        <f t="shared" si="639"/>
        <v>0</v>
      </c>
      <c r="P2268" s="287">
        <f t="shared" si="640"/>
        <v>0</v>
      </c>
      <c r="Q2268" s="288"/>
      <c r="R2268" s="311" t="str">
        <f>IF(P2266&gt;0,"xy","")</f>
        <v>xy</v>
      </c>
      <c r="S2268" s="378" t="str">
        <f t="shared" si="648"/>
        <v>x</v>
      </c>
    </row>
    <row r="2269" spans="2:19" x14ac:dyDescent="0.2">
      <c r="B2269" s="771" t="s">
        <v>168</v>
      </c>
      <c r="C2269" s="596"/>
      <c r="D2269" s="383" t="s">
        <v>253</v>
      </c>
      <c r="E2269" s="704"/>
      <c r="F2269" s="661">
        <v>19.100000000000001</v>
      </c>
      <c r="G2269" s="665">
        <f>VLOOKUP(D2266,'ENSAIOS DE ORÇAMENTO'!$C$3:$L$79,6,FALSE)</f>
        <v>0.43353936000000004</v>
      </c>
      <c r="H2269" s="663">
        <f>IF(F2269&lt;=30,(1.05*F2269+2.18)*G2269,((1.05*30+2.18)+0.87*(F2269-30))*G2269)</f>
        <v>9.639747669600002</v>
      </c>
      <c r="I2269" s="380"/>
      <c r="J2269" s="631"/>
      <c r="K2269" s="593">
        <f t="shared" si="651"/>
        <v>0</v>
      </c>
      <c r="L2269" s="594"/>
      <c r="M2269" s="600"/>
      <c r="N2269" s="600">
        <v>0</v>
      </c>
      <c r="O2269" s="287">
        <f t="shared" si="639"/>
        <v>0</v>
      </c>
      <c r="P2269" s="287">
        <f t="shared" si="640"/>
        <v>0</v>
      </c>
      <c r="Q2269" s="288"/>
      <c r="R2269" s="243" t="str">
        <f>IF(P2266&gt;0,"xy","")</f>
        <v>xy</v>
      </c>
      <c r="S2269" s="378" t="str">
        <f t="shared" si="648"/>
        <v>x</v>
      </c>
    </row>
    <row r="2270" spans="2:19" x14ac:dyDescent="0.2">
      <c r="B2270" s="771" t="s">
        <v>168</v>
      </c>
      <c r="C2270" s="596"/>
      <c r="D2270" s="383" t="s">
        <v>402</v>
      </c>
      <c r="E2270" s="704"/>
      <c r="F2270" s="661">
        <v>21.3</v>
      </c>
      <c r="G2270" s="665">
        <f>VLOOKUP(D2266,'ENSAIOS DE ORÇAMENTO'!$C$3:$L$79,3,FALSE)</f>
        <v>0.28019519999999998</v>
      </c>
      <c r="H2270" s="663">
        <f>IF(F2270&lt;=30,(1.05*F2270+2.18)*G2270,((1.05*30+2.18)+0.87*(F2270-30))*G2270)</f>
        <v>6.8773911839999995</v>
      </c>
      <c r="I2270" s="380"/>
      <c r="J2270" s="631"/>
      <c r="K2270" s="593">
        <f t="shared" si="651"/>
        <v>0</v>
      </c>
      <c r="L2270" s="594"/>
      <c r="M2270" s="600"/>
      <c r="N2270" s="600">
        <v>0</v>
      </c>
      <c r="O2270" s="287">
        <f t="shared" si="639"/>
        <v>0</v>
      </c>
      <c r="P2270" s="287">
        <f t="shared" si="640"/>
        <v>0</v>
      </c>
      <c r="Q2270" s="288"/>
      <c r="R2270" s="311" t="str">
        <f>IF(P2266&gt;0,"xy","")</f>
        <v>xy</v>
      </c>
      <c r="S2270" s="378" t="str">
        <f t="shared" si="648"/>
        <v>x</v>
      </c>
    </row>
    <row r="2271" spans="2:19" x14ac:dyDescent="0.2">
      <c r="B2271" s="771" t="s">
        <v>168</v>
      </c>
      <c r="C2271" s="596"/>
      <c r="D2271" s="383" t="s">
        <v>403</v>
      </c>
      <c r="E2271" s="704"/>
      <c r="F2271" s="661">
        <v>27.6</v>
      </c>
      <c r="G2271" s="665">
        <f>VLOOKUP(D2266,'ENSAIOS DE ORÇAMENTO'!$C$3:$L$79,10,FALSE)</f>
        <v>9.3398400000000003E-3</v>
      </c>
      <c r="H2271" s="663">
        <f>IF(F2271&lt;=30,(1.05*F2271+2.18)*G2271,((1.05*30+2.18)+0.87*(F2271-30))*G2271)</f>
        <v>0.29102941440000002</v>
      </c>
      <c r="I2271" s="380"/>
      <c r="J2271" s="631"/>
      <c r="K2271" s="593">
        <f t="shared" si="651"/>
        <v>0</v>
      </c>
      <c r="L2271" s="594"/>
      <c r="M2271" s="600"/>
      <c r="N2271" s="600">
        <v>0</v>
      </c>
      <c r="O2271" s="287">
        <f t="shared" si="639"/>
        <v>0</v>
      </c>
      <c r="P2271" s="287">
        <f t="shared" si="640"/>
        <v>0</v>
      </c>
      <c r="Q2271" s="288"/>
      <c r="R2271" s="311" t="str">
        <f>IF(P2266&gt;0,"xy","")</f>
        <v>xy</v>
      </c>
      <c r="S2271" s="378" t="str">
        <f t="shared" si="648"/>
        <v>x</v>
      </c>
    </row>
    <row r="2272" spans="2:19" hidden="1" x14ac:dyDescent="0.2">
      <c r="B2272" s="771" t="s">
        <v>37</v>
      </c>
      <c r="C2272" s="596" t="s">
        <v>207</v>
      </c>
      <c r="D2272" s="383" t="s">
        <v>73</v>
      </c>
      <c r="E2272" s="704"/>
      <c r="F2272" s="661"/>
      <c r="G2272" s="665"/>
      <c r="H2272" s="664">
        <f>SUM(H2273:H2277)</f>
        <v>288.39999739648005</v>
      </c>
      <c r="I2272" s="380">
        <f>VLOOKUP(D2272,'ENSAIOS DE ORÇAMENTO'!$C$3:$L$79,8,FALSE)</f>
        <v>1253.0630154666667</v>
      </c>
      <c r="J2272" s="631">
        <f t="shared" ref="J2272" si="661">IF(ISBLANK(I2272),"",SUM(H2272:I2272))</f>
        <v>1541.4630128631468</v>
      </c>
      <c r="K2272" s="593">
        <f t="shared" si="651"/>
        <v>1953.8</v>
      </c>
      <c r="L2272" s="594" t="s">
        <v>21</v>
      </c>
      <c r="M2272" s="30"/>
      <c r="N2272" s="30">
        <v>1953.8</v>
      </c>
      <c r="O2272" s="287">
        <f t="shared" si="639"/>
        <v>0</v>
      </c>
      <c r="P2272" s="287">
        <f t="shared" si="640"/>
        <v>0</v>
      </c>
      <c r="Q2272" s="288"/>
      <c r="S2272" s="378" t="str">
        <f t="shared" si="648"/>
        <v/>
      </c>
    </row>
    <row r="2273" spans="2:19" hidden="1" x14ac:dyDescent="0.2">
      <c r="B2273" s="771" t="s">
        <v>168</v>
      </c>
      <c r="C2273" s="596"/>
      <c r="D2273" s="383" t="s">
        <v>213</v>
      </c>
      <c r="E2273" s="704"/>
      <c r="F2273" s="661">
        <v>500</v>
      </c>
      <c r="G2273" s="665">
        <f>VLOOKUP(D2272,'ENSAIOS DE ORÇAMENTO'!$C$3:$L$79,4,FALSE)</f>
        <v>0.25613760000000002</v>
      </c>
      <c r="H2273" s="664">
        <f>IF(F2273&lt;=30,(0.75*F2273+6.29)*G2273,((0.75*30+6.29)+0.62*(F2273-30))*G2273)</f>
        <v>82.012698144000012</v>
      </c>
      <c r="I2273" s="380"/>
      <c r="J2273" s="631"/>
      <c r="K2273" s="593">
        <f t="shared" si="651"/>
        <v>0</v>
      </c>
      <c r="L2273" s="594"/>
      <c r="M2273" s="600"/>
      <c r="N2273" s="600">
        <v>0</v>
      </c>
      <c r="O2273" s="287">
        <f t="shared" si="639"/>
        <v>0</v>
      </c>
      <c r="P2273" s="287">
        <f t="shared" si="640"/>
        <v>0</v>
      </c>
      <c r="Q2273" s="288"/>
      <c r="R2273" s="311" t="str">
        <f>IF(P2272&gt;0,"xy","")</f>
        <v/>
      </c>
      <c r="S2273" s="378" t="str">
        <f t="shared" si="648"/>
        <v/>
      </c>
    </row>
    <row r="2274" spans="2:19" hidden="1" x14ac:dyDescent="0.2">
      <c r="B2274" s="771" t="s">
        <v>168</v>
      </c>
      <c r="C2274" s="596"/>
      <c r="D2274" s="383" t="s">
        <v>249</v>
      </c>
      <c r="E2274" s="704"/>
      <c r="F2274" s="661">
        <v>180</v>
      </c>
      <c r="G2274" s="665">
        <f>VLOOKUP(D2272,'ENSAIOS DE ORÇAMENTO'!$C$3:$L$79,5,FALSE)</f>
        <v>0.95694329600000005</v>
      </c>
      <c r="H2274" s="663">
        <f t="shared" ref="H2274" si="662">IF(F2274&lt;=30,(1.05*F2274+2.18)*G2274,((1.05*30+2.18)+0.87*(F2274-30))*G2274)</f>
        <v>157.11095033728</v>
      </c>
      <c r="I2274" s="380"/>
      <c r="J2274" s="631"/>
      <c r="K2274" s="593">
        <f t="shared" si="651"/>
        <v>0</v>
      </c>
      <c r="L2274" s="594"/>
      <c r="M2274" s="600"/>
      <c r="N2274" s="600">
        <v>0</v>
      </c>
      <c r="O2274" s="287">
        <f t="shared" si="639"/>
        <v>0</v>
      </c>
      <c r="P2274" s="287">
        <f t="shared" si="640"/>
        <v>0</v>
      </c>
      <c r="Q2274" s="288"/>
      <c r="R2274" s="311" t="str">
        <f>IF(P2272&gt;0,"xy","")</f>
        <v/>
      </c>
      <c r="S2274" s="378" t="str">
        <f t="shared" si="648"/>
        <v/>
      </c>
    </row>
    <row r="2275" spans="2:19" hidden="1" x14ac:dyDescent="0.2">
      <c r="B2275" s="771" t="s">
        <v>168</v>
      </c>
      <c r="C2275" s="596"/>
      <c r="D2275" s="383" t="s">
        <v>253</v>
      </c>
      <c r="E2275" s="704"/>
      <c r="F2275" s="661">
        <v>20</v>
      </c>
      <c r="G2275" s="665">
        <f>VLOOKUP(D2272,'ENSAIOS DE ORÇAMENTO'!$C$3:$L$79,6,FALSE)</f>
        <v>0.70038336000000012</v>
      </c>
      <c r="H2275" s="663">
        <f>IF(F2275&lt;=30,(1.05*F2275+2.18)*G2275,((1.05*30+2.18)+0.87*(F2275-30))*G2275)</f>
        <v>16.234886284800002</v>
      </c>
      <c r="I2275" s="380"/>
      <c r="J2275" s="631"/>
      <c r="K2275" s="593">
        <f t="shared" si="651"/>
        <v>0</v>
      </c>
      <c r="L2275" s="594"/>
      <c r="M2275" s="600"/>
      <c r="N2275" s="600">
        <v>0</v>
      </c>
      <c r="O2275" s="287">
        <f t="shared" si="639"/>
        <v>0</v>
      </c>
      <c r="P2275" s="287">
        <f t="shared" si="640"/>
        <v>0</v>
      </c>
      <c r="Q2275" s="288"/>
      <c r="R2275" s="243" t="str">
        <f>IF(P2272&gt;0,"xy","")</f>
        <v/>
      </c>
      <c r="S2275" s="378" t="str">
        <f t="shared" si="648"/>
        <v/>
      </c>
    </row>
    <row r="2276" spans="2:19" hidden="1" x14ac:dyDescent="0.2">
      <c r="B2276" s="771" t="s">
        <v>168</v>
      </c>
      <c r="C2276" s="596"/>
      <c r="D2276" s="383" t="s">
        <v>402</v>
      </c>
      <c r="E2276" s="704"/>
      <c r="F2276" s="661">
        <v>30</v>
      </c>
      <c r="G2276" s="665">
        <f>VLOOKUP(D2272,'ENSAIOS DE ORÇAMENTO'!$C$3:$L$79,3,FALSE)</f>
        <v>0.6822144</v>
      </c>
      <c r="H2276" s="663">
        <f>IF(F2276&lt;=30,(1.05*F2276+2.18)*G2276,((1.05*30+2.18)+0.87*(F2276-30))*G2276)</f>
        <v>22.976980992000001</v>
      </c>
      <c r="I2276" s="380"/>
      <c r="J2276" s="631"/>
      <c r="K2276" s="593">
        <f t="shared" si="651"/>
        <v>0</v>
      </c>
      <c r="L2276" s="594"/>
      <c r="M2276" s="600"/>
      <c r="N2276" s="600">
        <v>0</v>
      </c>
      <c r="O2276" s="287">
        <f t="shared" si="639"/>
        <v>0</v>
      </c>
      <c r="P2276" s="287">
        <f t="shared" si="640"/>
        <v>0</v>
      </c>
      <c r="Q2276" s="288"/>
      <c r="R2276" s="311" t="str">
        <f>IF(P2272&gt;0,"xy","")</f>
        <v/>
      </c>
      <c r="S2276" s="378" t="str">
        <f t="shared" si="648"/>
        <v/>
      </c>
    </row>
    <row r="2277" spans="2:19" hidden="1" x14ac:dyDescent="0.2">
      <c r="B2277" s="771" t="s">
        <v>168</v>
      </c>
      <c r="C2277" s="596"/>
      <c r="D2277" s="383" t="s">
        <v>403</v>
      </c>
      <c r="E2277" s="704"/>
      <c r="F2277" s="661">
        <v>500</v>
      </c>
      <c r="G2277" s="665">
        <f>VLOOKUP(D2272,'ENSAIOS DE ORÇAMENTO'!$C$3:$L$79,10,FALSE)</f>
        <v>2.274048E-2</v>
      </c>
      <c r="H2277" s="663">
        <f>IF(F2277&lt;=30,(1.05*F2277+2.18)*G2277,((1.05*30+2.18)+0.87*(F2277-30))*G2277)</f>
        <v>10.0644816384</v>
      </c>
      <c r="I2277" s="380"/>
      <c r="J2277" s="631"/>
      <c r="K2277" s="593">
        <f t="shared" si="651"/>
        <v>0</v>
      </c>
      <c r="L2277" s="594"/>
      <c r="M2277" s="600"/>
      <c r="N2277" s="600">
        <v>0</v>
      </c>
      <c r="O2277" s="287">
        <f t="shared" si="639"/>
        <v>0</v>
      </c>
      <c r="P2277" s="287">
        <f t="shared" si="640"/>
        <v>0</v>
      </c>
      <c r="Q2277" s="288"/>
      <c r="R2277" s="311" t="str">
        <f>IF(P2272&gt;0,"xy","")</f>
        <v/>
      </c>
      <c r="S2277" s="378" t="str">
        <f t="shared" si="648"/>
        <v/>
      </c>
    </row>
    <row r="2278" spans="2:19" hidden="1" x14ac:dyDescent="0.2">
      <c r="B2278" s="771" t="s">
        <v>38</v>
      </c>
      <c r="C2278" s="596" t="s">
        <v>207</v>
      </c>
      <c r="D2278" s="383" t="s">
        <v>74</v>
      </c>
      <c r="E2278" s="704"/>
      <c r="F2278" s="661"/>
      <c r="G2278" s="665"/>
      <c r="H2278" s="664">
        <f>SUM(H2279:H2283)</f>
        <v>377.64125337856001</v>
      </c>
      <c r="I2278" s="380">
        <f>VLOOKUP(D2278,'ENSAIOS DE ORÇAMENTO'!$C$3:$L$79,8,FALSE)</f>
        <v>1631.845738933333</v>
      </c>
      <c r="J2278" s="631">
        <f t="shared" ref="J2278" si="663">IF(ISBLANK(I2278),"",SUM(H2278:I2278))</f>
        <v>2009.4869923118931</v>
      </c>
      <c r="K2278" s="593">
        <f t="shared" si="651"/>
        <v>2547.02</v>
      </c>
      <c r="L2278" s="594" t="s">
        <v>21</v>
      </c>
      <c r="M2278" s="30"/>
      <c r="N2278" s="30">
        <v>2547.02</v>
      </c>
      <c r="O2278" s="287">
        <f t="shared" si="639"/>
        <v>0</v>
      </c>
      <c r="P2278" s="287">
        <f t="shared" si="640"/>
        <v>0</v>
      </c>
      <c r="Q2278" s="288"/>
      <c r="S2278" s="378" t="str">
        <f t="shared" si="648"/>
        <v/>
      </c>
    </row>
    <row r="2279" spans="2:19" hidden="1" x14ac:dyDescent="0.2">
      <c r="B2279" s="771" t="s">
        <v>168</v>
      </c>
      <c r="C2279" s="596"/>
      <c r="D2279" s="383" t="s">
        <v>213</v>
      </c>
      <c r="E2279" s="704"/>
      <c r="F2279" s="661">
        <v>500</v>
      </c>
      <c r="G2279" s="665">
        <f>VLOOKUP(D2278,'ENSAIOS DE ORÇAMENTO'!$C$3:$L$79,4,FALSE)</f>
        <v>0.33109503999999995</v>
      </c>
      <c r="H2279" s="664">
        <f>IF(F2279&lt;=30,(0.75*F2279+6.29)*G2279,((0.75*30+6.29)+0.62*(F2279-30))*G2279)</f>
        <v>106.01332085759998</v>
      </c>
      <c r="I2279" s="380"/>
      <c r="J2279" s="631"/>
      <c r="K2279" s="593">
        <f t="shared" si="651"/>
        <v>0</v>
      </c>
      <c r="L2279" s="594"/>
      <c r="M2279" s="600"/>
      <c r="N2279" s="600">
        <v>0</v>
      </c>
      <c r="O2279" s="287">
        <f t="shared" ref="O2279:O2342" si="664">IF(ISBLANK(M2279),0,ROUND(K2279*M2279,2))</f>
        <v>0</v>
      </c>
      <c r="P2279" s="287">
        <f t="shared" ref="P2279:P2342" si="665">IF(ISBLANK(N2279),0,ROUND(M2279*N2279,2))</f>
        <v>0</v>
      </c>
      <c r="Q2279" s="288"/>
      <c r="R2279" s="311" t="str">
        <f>IF(P2278&gt;0,"xy","")</f>
        <v/>
      </c>
      <c r="S2279" s="378" t="str">
        <f t="shared" si="648"/>
        <v/>
      </c>
    </row>
    <row r="2280" spans="2:19" hidden="1" x14ac:dyDescent="0.2">
      <c r="B2280" s="771" t="s">
        <v>168</v>
      </c>
      <c r="C2280" s="596"/>
      <c r="D2280" s="383" t="s">
        <v>249</v>
      </c>
      <c r="E2280" s="704"/>
      <c r="F2280" s="661">
        <v>180</v>
      </c>
      <c r="G2280" s="665">
        <f>VLOOKUP(D2278,'ENSAIOS DE ORÇAMENTO'!$C$3:$L$79,5,FALSE)</f>
        <v>1.2541824319999999</v>
      </c>
      <c r="H2280" s="663">
        <f t="shared" ref="H2280" si="666">IF(F2280&lt;=30,(1.05*F2280+2.18)*G2280,((1.05*30+2.18)+0.87*(F2280-30))*G2280)</f>
        <v>205.91167168575998</v>
      </c>
      <c r="I2280" s="380"/>
      <c r="J2280" s="631"/>
      <c r="K2280" s="593">
        <f t="shared" si="651"/>
        <v>0</v>
      </c>
      <c r="L2280" s="594"/>
      <c r="M2280" s="600"/>
      <c r="N2280" s="600">
        <v>0</v>
      </c>
      <c r="O2280" s="287">
        <f t="shared" si="664"/>
        <v>0</v>
      </c>
      <c r="P2280" s="287">
        <f t="shared" si="665"/>
        <v>0</v>
      </c>
      <c r="Q2280" s="288"/>
      <c r="R2280" s="311" t="str">
        <f>IF(P2278&gt;0,"xy","")</f>
        <v/>
      </c>
      <c r="S2280" s="378" t="str">
        <f t="shared" si="648"/>
        <v/>
      </c>
    </row>
    <row r="2281" spans="2:19" hidden="1" x14ac:dyDescent="0.2">
      <c r="B2281" s="771" t="s">
        <v>168</v>
      </c>
      <c r="C2281" s="596"/>
      <c r="D2281" s="383" t="s">
        <v>253</v>
      </c>
      <c r="E2281" s="704"/>
      <c r="F2281" s="661">
        <v>20</v>
      </c>
      <c r="G2281" s="665">
        <f>VLOOKUP(D2278,'ENSAIOS DE ORÇAMENTO'!$C$3:$L$79,6,FALSE)</f>
        <v>0.89487311999999997</v>
      </c>
      <c r="H2281" s="663">
        <f>IF(F2281&lt;=30,(1.05*F2281+2.18)*G2281,((1.05*30+2.18)+0.87*(F2281-30))*G2281)</f>
        <v>20.743158921599999</v>
      </c>
      <c r="I2281" s="380"/>
      <c r="J2281" s="631"/>
      <c r="K2281" s="593">
        <f t="shared" si="651"/>
        <v>0</v>
      </c>
      <c r="L2281" s="594"/>
      <c r="M2281" s="600"/>
      <c r="N2281" s="600">
        <v>0</v>
      </c>
      <c r="O2281" s="287">
        <f t="shared" si="664"/>
        <v>0</v>
      </c>
      <c r="P2281" s="287">
        <f t="shared" si="665"/>
        <v>0</v>
      </c>
      <c r="Q2281" s="288"/>
      <c r="R2281" s="243" t="str">
        <f>IF(P2278&gt;0,"xy","")</f>
        <v/>
      </c>
      <c r="S2281" s="378" t="str">
        <f t="shared" si="648"/>
        <v/>
      </c>
    </row>
    <row r="2282" spans="2:19" hidden="1" x14ac:dyDescent="0.2">
      <c r="B2282" s="771" t="s">
        <v>168</v>
      </c>
      <c r="C2282" s="596"/>
      <c r="D2282" s="383" t="s">
        <v>402</v>
      </c>
      <c r="E2282" s="704"/>
      <c r="F2282" s="661">
        <v>30</v>
      </c>
      <c r="G2282" s="665">
        <f>VLOOKUP(D2278,'ENSAIOS DE ORÇAMENTO'!$C$3:$L$79,3,FALSE)</f>
        <v>0.92856959999999988</v>
      </c>
      <c r="H2282" s="663">
        <f>IF(F2282&lt;=30,(1.05*F2282+2.18)*G2282,((1.05*30+2.18)+0.87*(F2282-30))*G2282)</f>
        <v>31.274224127999997</v>
      </c>
      <c r="I2282" s="380"/>
      <c r="J2282" s="631"/>
      <c r="K2282" s="593">
        <f t="shared" si="651"/>
        <v>0</v>
      </c>
      <c r="L2282" s="594"/>
      <c r="M2282" s="600"/>
      <c r="N2282" s="600">
        <v>0</v>
      </c>
      <c r="O2282" s="287">
        <f t="shared" si="664"/>
        <v>0</v>
      </c>
      <c r="P2282" s="287">
        <f t="shared" si="665"/>
        <v>0</v>
      </c>
      <c r="Q2282" s="288"/>
      <c r="R2282" s="311" t="str">
        <f>IF(P2278&gt;0,"xy","")</f>
        <v/>
      </c>
      <c r="S2282" s="378" t="str">
        <f t="shared" si="648"/>
        <v/>
      </c>
    </row>
    <row r="2283" spans="2:19" hidden="1" x14ac:dyDescent="0.2">
      <c r="B2283" s="771" t="s">
        <v>168</v>
      </c>
      <c r="C2283" s="596"/>
      <c r="D2283" s="383" t="s">
        <v>403</v>
      </c>
      <c r="E2283" s="704"/>
      <c r="F2283" s="661">
        <v>500</v>
      </c>
      <c r="G2283" s="665">
        <f>VLOOKUP(D2278,'ENSAIOS DE ORÇAMENTO'!$C$3:$L$79,10,FALSE)</f>
        <v>3.0952319999999998E-2</v>
      </c>
      <c r="H2283" s="663">
        <f>IF(F2283&lt;=30,(1.05*F2283+2.18)*G2283,((1.05*30+2.18)+0.87*(F2283-30))*G2283)</f>
        <v>13.698877785599999</v>
      </c>
      <c r="I2283" s="380"/>
      <c r="J2283" s="631"/>
      <c r="K2283" s="593">
        <f t="shared" si="651"/>
        <v>0</v>
      </c>
      <c r="L2283" s="594"/>
      <c r="M2283" s="600"/>
      <c r="N2283" s="600">
        <v>0</v>
      </c>
      <c r="O2283" s="287">
        <f t="shared" si="664"/>
        <v>0</v>
      </c>
      <c r="P2283" s="287">
        <f t="shared" si="665"/>
        <v>0</v>
      </c>
      <c r="Q2283" s="288"/>
      <c r="R2283" s="311" t="str">
        <f>IF(P2278&gt;0,"xy","")</f>
        <v/>
      </c>
      <c r="S2283" s="378" t="str">
        <f t="shared" si="648"/>
        <v/>
      </c>
    </row>
    <row r="2284" spans="2:19" hidden="1" x14ac:dyDescent="0.2">
      <c r="B2284" s="771" t="s">
        <v>39</v>
      </c>
      <c r="C2284" s="596" t="s">
        <v>207</v>
      </c>
      <c r="D2284" s="383" t="s">
        <v>75</v>
      </c>
      <c r="E2284" s="704"/>
      <c r="F2284" s="661"/>
      <c r="G2284" s="665"/>
      <c r="H2284" s="664">
        <f>SUM(H2285:H2289)</f>
        <v>521.52591738176011</v>
      </c>
      <c r="I2284" s="380">
        <f>VLOOKUP(D2284,'ENSAIOS DE ORÇAMENTO'!$C$3:$L$79,8,FALSE)</f>
        <v>2246.2115170666666</v>
      </c>
      <c r="J2284" s="631">
        <f t="shared" ref="J2284" si="667">IF(ISBLANK(I2284),"",SUM(H2284:I2284))</f>
        <v>2767.7374344484269</v>
      </c>
      <c r="K2284" s="593">
        <f t="shared" si="651"/>
        <v>3508.11</v>
      </c>
      <c r="L2284" s="594" t="s">
        <v>21</v>
      </c>
      <c r="M2284" s="30"/>
      <c r="N2284" s="30">
        <v>3508.11</v>
      </c>
      <c r="O2284" s="287">
        <f t="shared" si="664"/>
        <v>0</v>
      </c>
      <c r="P2284" s="287">
        <f t="shared" si="665"/>
        <v>0</v>
      </c>
      <c r="Q2284" s="288"/>
      <c r="S2284" s="378" t="str">
        <f t="shared" si="648"/>
        <v/>
      </c>
    </row>
    <row r="2285" spans="2:19" hidden="1" x14ac:dyDescent="0.2">
      <c r="B2285" s="771" t="s">
        <v>168</v>
      </c>
      <c r="C2285" s="596"/>
      <c r="D2285" s="383" t="s">
        <v>213</v>
      </c>
      <c r="E2285" s="704"/>
      <c r="F2285" s="661">
        <v>500</v>
      </c>
      <c r="G2285" s="665">
        <f>VLOOKUP(D2284,'ENSAIOS DE ORÇAMENTO'!$C$3:$L$79,4,FALSE)</f>
        <v>0.45250179200000007</v>
      </c>
      <c r="H2285" s="664">
        <f>IF(F2285&lt;=30,(0.75*F2285+6.29)*G2285,((0.75*30+6.29)+0.62*(F2285-30))*G2285)</f>
        <v>144.88654878048001</v>
      </c>
      <c r="I2285" s="380"/>
      <c r="J2285" s="631"/>
      <c r="K2285" s="593">
        <f t="shared" si="651"/>
        <v>0</v>
      </c>
      <c r="L2285" s="594"/>
      <c r="M2285" s="600"/>
      <c r="N2285" s="600">
        <v>0</v>
      </c>
      <c r="O2285" s="287">
        <f t="shared" si="664"/>
        <v>0</v>
      </c>
      <c r="P2285" s="287">
        <f t="shared" si="665"/>
        <v>0</v>
      </c>
      <c r="Q2285" s="288"/>
      <c r="R2285" s="311" t="str">
        <f>IF(P2284&gt;0,"xy","")</f>
        <v/>
      </c>
      <c r="S2285" s="378" t="str">
        <f t="shared" si="648"/>
        <v/>
      </c>
    </row>
    <row r="2286" spans="2:19" hidden="1" x14ac:dyDescent="0.2">
      <c r="B2286" s="771" t="s">
        <v>168</v>
      </c>
      <c r="C2286" s="596"/>
      <c r="D2286" s="383" t="s">
        <v>249</v>
      </c>
      <c r="E2286" s="704"/>
      <c r="F2286" s="661">
        <v>180</v>
      </c>
      <c r="G2286" s="665">
        <f>VLOOKUP(D2284,'ENSAIOS DE ORÇAMENTO'!$C$3:$L$79,5,FALSE)</f>
        <v>1.7334338080000002</v>
      </c>
      <c r="H2286" s="663">
        <f t="shared" ref="H2286" si="668">IF(F2286&lt;=30,(1.05*F2286+2.18)*G2286,((1.05*30+2.18)+0.87*(F2286-30))*G2286)</f>
        <v>284.59516259744004</v>
      </c>
      <c r="I2286" s="380"/>
      <c r="J2286" s="631"/>
      <c r="K2286" s="593">
        <f t="shared" si="651"/>
        <v>0</v>
      </c>
      <c r="L2286" s="594"/>
      <c r="M2286" s="600"/>
      <c r="N2286" s="600">
        <v>0</v>
      </c>
      <c r="O2286" s="287">
        <f t="shared" si="664"/>
        <v>0</v>
      </c>
      <c r="P2286" s="287">
        <f t="shared" si="665"/>
        <v>0</v>
      </c>
      <c r="Q2286" s="288"/>
      <c r="R2286" s="311" t="str">
        <f>IF(P2284&gt;0,"xy","")</f>
        <v/>
      </c>
      <c r="S2286" s="378" t="str">
        <f t="shared" si="648"/>
        <v/>
      </c>
    </row>
    <row r="2287" spans="2:19" hidden="1" x14ac:dyDescent="0.2">
      <c r="B2287" s="771" t="s">
        <v>168</v>
      </c>
      <c r="C2287" s="596"/>
      <c r="D2287" s="383" t="s">
        <v>253</v>
      </c>
      <c r="E2287" s="704"/>
      <c r="F2287" s="661">
        <v>20</v>
      </c>
      <c r="G2287" s="665">
        <f>VLOOKUP(D2284,'ENSAIOS DE ORÇAMENTO'!$C$3:$L$79,6,FALSE)</f>
        <v>1.2150148800000002</v>
      </c>
      <c r="H2287" s="663">
        <f>IF(F2287&lt;=30,(1.05*F2287+2.18)*G2287,((1.05*30+2.18)+0.87*(F2287-30))*G2287)</f>
        <v>28.164044918400005</v>
      </c>
      <c r="I2287" s="380"/>
      <c r="J2287" s="631"/>
      <c r="K2287" s="593">
        <f t="shared" si="651"/>
        <v>0</v>
      </c>
      <c r="L2287" s="594"/>
      <c r="M2287" s="600"/>
      <c r="N2287" s="600">
        <v>0</v>
      </c>
      <c r="O2287" s="287">
        <f t="shared" si="664"/>
        <v>0</v>
      </c>
      <c r="P2287" s="287">
        <f t="shared" si="665"/>
        <v>0</v>
      </c>
      <c r="Q2287" s="288"/>
      <c r="R2287" s="243" t="str">
        <f>IF(P2284&gt;0,"xy","")</f>
        <v/>
      </c>
      <c r="S2287" s="378" t="str">
        <f t="shared" si="648"/>
        <v/>
      </c>
    </row>
    <row r="2288" spans="2:19" hidden="1" x14ac:dyDescent="0.2">
      <c r="B2288" s="771" t="s">
        <v>168</v>
      </c>
      <c r="C2288" s="596"/>
      <c r="D2288" s="383" t="s">
        <v>402</v>
      </c>
      <c r="E2288" s="704"/>
      <c r="F2288" s="661">
        <v>30</v>
      </c>
      <c r="G2288" s="665">
        <f>VLOOKUP(D2284,'ENSAIOS DE ORÇAMENTO'!$C$3:$L$79,3,FALSE)</f>
        <v>1.3189478400000001</v>
      </c>
      <c r="H2288" s="663">
        <f>IF(F2288&lt;=30,(1.05*F2288+2.18)*G2288,((1.05*30+2.18)+0.87*(F2288-30))*G2288)</f>
        <v>44.422163251200004</v>
      </c>
      <c r="I2288" s="380"/>
      <c r="J2288" s="631"/>
      <c r="K2288" s="593">
        <f t="shared" si="651"/>
        <v>0</v>
      </c>
      <c r="L2288" s="594"/>
      <c r="M2288" s="600"/>
      <c r="N2288" s="600">
        <v>0</v>
      </c>
      <c r="O2288" s="287">
        <f t="shared" si="664"/>
        <v>0</v>
      </c>
      <c r="P2288" s="287">
        <f t="shared" si="665"/>
        <v>0</v>
      </c>
      <c r="Q2288" s="288"/>
      <c r="R2288" s="311" t="str">
        <f>IF(P2284&gt;0,"xy","")</f>
        <v/>
      </c>
      <c r="S2288" s="378" t="str">
        <f t="shared" si="648"/>
        <v/>
      </c>
    </row>
    <row r="2289" spans="2:19" hidden="1" x14ac:dyDescent="0.2">
      <c r="B2289" s="771" t="s">
        <v>168</v>
      </c>
      <c r="C2289" s="596"/>
      <c r="D2289" s="383" t="s">
        <v>403</v>
      </c>
      <c r="E2289" s="704"/>
      <c r="F2289" s="661">
        <v>500</v>
      </c>
      <c r="G2289" s="665">
        <f>VLOOKUP(D2284,'ENSAIOS DE ORÇAMENTO'!$C$3:$L$79,10,FALSE)</f>
        <v>4.3964928000000007E-2</v>
      </c>
      <c r="H2289" s="663">
        <f>IF(F2289&lt;=30,(1.05*F2289+2.18)*G2289,((1.05*30+2.18)+0.87*(F2289-30))*G2289)</f>
        <v>19.457997834240004</v>
      </c>
      <c r="I2289" s="380"/>
      <c r="J2289" s="631"/>
      <c r="K2289" s="593">
        <f t="shared" si="651"/>
        <v>0</v>
      </c>
      <c r="L2289" s="594"/>
      <c r="M2289" s="600"/>
      <c r="N2289" s="600">
        <v>0</v>
      </c>
      <c r="O2289" s="287">
        <f t="shared" si="664"/>
        <v>0</v>
      </c>
      <c r="P2289" s="287">
        <f t="shared" si="665"/>
        <v>0</v>
      </c>
      <c r="Q2289" s="288"/>
      <c r="R2289" s="311" t="str">
        <f>IF(P2284&gt;0,"xy","")</f>
        <v/>
      </c>
      <c r="S2289" s="378" t="str">
        <f t="shared" si="648"/>
        <v/>
      </c>
    </row>
    <row r="2290" spans="2:19" hidden="1" x14ac:dyDescent="0.2">
      <c r="B2290" s="771" t="s">
        <v>126</v>
      </c>
      <c r="C2290" s="596" t="s">
        <v>207</v>
      </c>
      <c r="D2290" s="383" t="s">
        <v>412</v>
      </c>
      <c r="E2290" s="704"/>
      <c r="F2290" s="661"/>
      <c r="G2290" s="665"/>
      <c r="H2290" s="664">
        <f>SUM(H2291:H2295)</f>
        <v>119.26046158080001</v>
      </c>
      <c r="I2290" s="380">
        <f>VLOOKUP(D2290,'ENSAIOS DE ORÇAMENTO'!$C$3:$L$79,8,FALSE)</f>
        <v>472.87069962666669</v>
      </c>
      <c r="J2290" s="631">
        <f t="shared" ref="J2290" si="669">IF(ISBLANK(I2290),"",SUM(H2290:I2290))</f>
        <v>592.13116120746668</v>
      </c>
      <c r="K2290" s="593">
        <f t="shared" si="651"/>
        <v>750.53</v>
      </c>
      <c r="L2290" s="594" t="s">
        <v>21</v>
      </c>
      <c r="M2290" s="30"/>
      <c r="N2290" s="30">
        <v>750.53</v>
      </c>
      <c r="O2290" s="287">
        <f t="shared" si="664"/>
        <v>0</v>
      </c>
      <c r="P2290" s="287">
        <f t="shared" si="665"/>
        <v>0</v>
      </c>
      <c r="Q2290" s="288"/>
      <c r="S2290" s="378" t="str">
        <f t="shared" si="648"/>
        <v/>
      </c>
    </row>
    <row r="2291" spans="2:19" hidden="1" x14ac:dyDescent="0.2">
      <c r="B2291" s="771" t="s">
        <v>168</v>
      </c>
      <c r="C2291" s="596"/>
      <c r="D2291" s="383" t="s">
        <v>213</v>
      </c>
      <c r="E2291" s="704"/>
      <c r="F2291" s="661">
        <v>500</v>
      </c>
      <c r="G2291" s="665">
        <f>VLOOKUP(D2290,'ENSAIOS DE ORÇAMENTO'!$C$3:$L$79,4,FALSE)</f>
        <v>0.1320288</v>
      </c>
      <c r="H2291" s="664">
        <f>IF(F2291&lt;=30,(0.75*F2291+6.29)*G2291,((0.75*30+6.29)+0.62*(F2291-30))*G2291)</f>
        <v>42.274301471999998</v>
      </c>
      <c r="I2291" s="380"/>
      <c r="J2291" s="631"/>
      <c r="K2291" s="593">
        <f t="shared" si="651"/>
        <v>0</v>
      </c>
      <c r="L2291" s="594"/>
      <c r="M2291" s="600"/>
      <c r="N2291" s="600">
        <v>0</v>
      </c>
      <c r="O2291" s="287">
        <f t="shared" si="664"/>
        <v>0</v>
      </c>
      <c r="P2291" s="287">
        <f t="shared" si="665"/>
        <v>0</v>
      </c>
      <c r="Q2291" s="288"/>
      <c r="R2291" s="311" t="str">
        <f>IF(P2290&gt;0,"xy","")</f>
        <v/>
      </c>
      <c r="S2291" s="378" t="str">
        <f t="shared" si="648"/>
        <v/>
      </c>
    </row>
    <row r="2292" spans="2:19" hidden="1" x14ac:dyDescent="0.2">
      <c r="B2292" s="771" t="s">
        <v>168</v>
      </c>
      <c r="C2292" s="596"/>
      <c r="D2292" s="383" t="s">
        <v>249</v>
      </c>
      <c r="E2292" s="704"/>
      <c r="F2292" s="661">
        <v>180</v>
      </c>
      <c r="G2292" s="665">
        <f>VLOOKUP(D2290,'ENSAIOS DE ORÇAMENTO'!$C$3:$L$79,5,FALSE)</f>
        <v>0.40193856</v>
      </c>
      <c r="H2292" s="663">
        <f t="shared" ref="H2292" si="670">IF(F2292&lt;=30,(1.05*F2292+2.18)*G2292,((1.05*30+2.18)+0.87*(F2292-30))*G2292)</f>
        <v>65.990272780799998</v>
      </c>
      <c r="I2292" s="380"/>
      <c r="J2292" s="631"/>
      <c r="K2292" s="593">
        <f t="shared" si="651"/>
        <v>0</v>
      </c>
      <c r="L2292" s="594"/>
      <c r="M2292" s="600"/>
      <c r="N2292" s="600">
        <v>0</v>
      </c>
      <c r="O2292" s="287">
        <f t="shared" si="664"/>
        <v>0</v>
      </c>
      <c r="P2292" s="287">
        <f t="shared" si="665"/>
        <v>0</v>
      </c>
      <c r="Q2292" s="288"/>
      <c r="R2292" s="311" t="str">
        <f>IF(P2290&gt;0,"xy","")</f>
        <v/>
      </c>
      <c r="S2292" s="378" t="str">
        <f t="shared" si="648"/>
        <v/>
      </c>
    </row>
    <row r="2293" spans="2:19" hidden="1" x14ac:dyDescent="0.2">
      <c r="B2293" s="771" t="s">
        <v>168</v>
      </c>
      <c r="C2293" s="596"/>
      <c r="D2293" s="383" t="s">
        <v>253</v>
      </c>
      <c r="E2293" s="704"/>
      <c r="F2293" s="661">
        <v>20</v>
      </c>
      <c r="G2293" s="665">
        <f>VLOOKUP(D2290,'ENSAIOS DE ORÇAMENTO'!$C$3:$L$79,6,FALSE)</f>
        <v>0.47436960000000006</v>
      </c>
      <c r="H2293" s="663">
        <f>IF(F2293&lt;=30,(1.05*F2293+2.18)*G2293,((1.05*30+2.18)+0.87*(F2293-30))*G2293)</f>
        <v>10.995887328000002</v>
      </c>
      <c r="I2293" s="380"/>
      <c r="J2293" s="631"/>
      <c r="K2293" s="593">
        <f t="shared" si="651"/>
        <v>0</v>
      </c>
      <c r="L2293" s="594"/>
      <c r="M2293" s="600"/>
      <c r="N2293" s="600">
        <v>0</v>
      </c>
      <c r="O2293" s="287">
        <f t="shared" si="664"/>
        <v>0</v>
      </c>
      <c r="P2293" s="287">
        <f t="shared" si="665"/>
        <v>0</v>
      </c>
      <c r="Q2293" s="288"/>
      <c r="R2293" s="243" t="str">
        <f>IF(P2290&gt;0,"xy","")</f>
        <v/>
      </c>
      <c r="S2293" s="378" t="str">
        <f t="shared" si="648"/>
        <v/>
      </c>
    </row>
    <row r="2294" spans="2:19" hidden="1" x14ac:dyDescent="0.2">
      <c r="B2294" s="771" t="s">
        <v>168</v>
      </c>
      <c r="C2294" s="596"/>
      <c r="D2294" s="383" t="s">
        <v>402</v>
      </c>
      <c r="E2294" s="704"/>
      <c r="F2294" s="661">
        <v>30</v>
      </c>
      <c r="G2294" s="665">
        <f>VLOOKUP(D2290,'ENSAIOS DE ORÇAMENTO'!$C$3:$L$79,3,FALSE)</f>
        <v>0</v>
      </c>
      <c r="H2294" s="663">
        <f>IF(F2294&lt;=30,(1.05*F2294+2.18)*G2294,((1.05*30+2.18)+0.87*(F2294-30))*G2294)</f>
        <v>0</v>
      </c>
      <c r="I2294" s="380"/>
      <c r="J2294" s="631"/>
      <c r="K2294" s="593">
        <f t="shared" si="651"/>
        <v>0</v>
      </c>
      <c r="L2294" s="594"/>
      <c r="M2294" s="600"/>
      <c r="N2294" s="600">
        <v>0</v>
      </c>
      <c r="O2294" s="287">
        <f t="shared" si="664"/>
        <v>0</v>
      </c>
      <c r="P2294" s="287">
        <f t="shared" si="665"/>
        <v>0</v>
      </c>
      <c r="Q2294" s="288"/>
      <c r="R2294" s="311" t="str">
        <f>IF(P2290&gt;0,"xy","")</f>
        <v/>
      </c>
      <c r="S2294" s="378" t="str">
        <f t="shared" si="648"/>
        <v/>
      </c>
    </row>
    <row r="2295" spans="2:19" hidden="1" x14ac:dyDescent="0.2">
      <c r="B2295" s="771" t="s">
        <v>168</v>
      </c>
      <c r="C2295" s="596"/>
      <c r="D2295" s="383" t="s">
        <v>403</v>
      </c>
      <c r="E2295" s="704"/>
      <c r="F2295" s="661">
        <v>500</v>
      </c>
      <c r="G2295" s="665">
        <f>VLOOKUP(D2290,'ENSAIOS DE ORÇAMENTO'!$C$3:$L$79,10,FALSE)</f>
        <v>0</v>
      </c>
      <c r="H2295" s="663">
        <f>IF(F2295&lt;=30,(1.05*F2295+2.18)*G2295,((1.05*30+2.18)+0.87*(F2295-30))*G2295)</f>
        <v>0</v>
      </c>
      <c r="I2295" s="380"/>
      <c r="J2295" s="631"/>
      <c r="K2295" s="593">
        <f t="shared" si="651"/>
        <v>0</v>
      </c>
      <c r="L2295" s="594"/>
      <c r="M2295" s="600"/>
      <c r="N2295" s="600">
        <v>0</v>
      </c>
      <c r="O2295" s="287">
        <f t="shared" si="664"/>
        <v>0</v>
      </c>
      <c r="P2295" s="287">
        <f t="shared" si="665"/>
        <v>0</v>
      </c>
      <c r="Q2295" s="288"/>
      <c r="R2295" s="311" t="str">
        <f>IF(P2290&gt;0,"xy","")</f>
        <v/>
      </c>
      <c r="S2295" s="378" t="str">
        <f t="shared" si="648"/>
        <v/>
      </c>
    </row>
    <row r="2296" spans="2:19" hidden="1" x14ac:dyDescent="0.2">
      <c r="B2296" s="771" t="s">
        <v>127</v>
      </c>
      <c r="C2296" s="596" t="s">
        <v>207</v>
      </c>
      <c r="D2296" s="383" t="s">
        <v>413</v>
      </c>
      <c r="E2296" s="704"/>
      <c r="F2296" s="661"/>
      <c r="G2296" s="665"/>
      <c r="H2296" s="664">
        <f>SUM(H2297:H2301)</f>
        <v>181.27753192680004</v>
      </c>
      <c r="I2296" s="380">
        <f>VLOOKUP(D2296,'ENSAIOS DE ORÇAMENTO'!$C$3:$L$79,8,FALSE)</f>
        <v>727.42920736666667</v>
      </c>
      <c r="J2296" s="631">
        <f t="shared" ref="J2296" si="671">IF(ISBLANK(I2296),"",SUM(H2296:I2296))</f>
        <v>908.70673929346674</v>
      </c>
      <c r="K2296" s="593">
        <f t="shared" si="651"/>
        <v>1151.79</v>
      </c>
      <c r="L2296" s="594" t="s">
        <v>21</v>
      </c>
      <c r="M2296" s="30"/>
      <c r="N2296" s="30">
        <v>1151.79</v>
      </c>
      <c r="O2296" s="287">
        <f t="shared" si="664"/>
        <v>0</v>
      </c>
      <c r="P2296" s="287">
        <f t="shared" si="665"/>
        <v>0</v>
      </c>
      <c r="Q2296" s="288"/>
      <c r="S2296" s="378" t="str">
        <f t="shared" si="648"/>
        <v/>
      </c>
    </row>
    <row r="2297" spans="2:19" hidden="1" x14ac:dyDescent="0.2">
      <c r="B2297" s="771" t="s">
        <v>168</v>
      </c>
      <c r="C2297" s="596"/>
      <c r="D2297" s="383" t="s">
        <v>213</v>
      </c>
      <c r="E2297" s="704"/>
      <c r="F2297" s="661">
        <v>500</v>
      </c>
      <c r="G2297" s="665">
        <f>VLOOKUP(D2296,'ENSAIOS DE ORÇAMENTO'!$C$3:$L$79,4,FALSE)</f>
        <v>0.20444730000000003</v>
      </c>
      <c r="H2297" s="664">
        <f>IF(F2297&lt;=30,(0.75*F2297+6.29)*G2297,((0.75*30+6.29)+0.62*(F2297-30))*G2297)</f>
        <v>65.461980987000004</v>
      </c>
      <c r="I2297" s="380"/>
      <c r="J2297" s="631"/>
      <c r="K2297" s="593">
        <f t="shared" si="651"/>
        <v>0</v>
      </c>
      <c r="L2297" s="594"/>
      <c r="M2297" s="600"/>
      <c r="N2297" s="600">
        <v>0</v>
      </c>
      <c r="O2297" s="287">
        <f t="shared" si="664"/>
        <v>0</v>
      </c>
      <c r="P2297" s="287">
        <f t="shared" si="665"/>
        <v>0</v>
      </c>
      <c r="Q2297" s="288"/>
      <c r="R2297" s="311" t="str">
        <f>IF(P2296&gt;0,"xy","")</f>
        <v/>
      </c>
      <c r="S2297" s="378" t="str">
        <f t="shared" si="648"/>
        <v/>
      </c>
    </row>
    <row r="2298" spans="2:19" hidden="1" x14ac:dyDescent="0.2">
      <c r="B2298" s="771" t="s">
        <v>168</v>
      </c>
      <c r="C2298" s="596"/>
      <c r="D2298" s="383" t="s">
        <v>249</v>
      </c>
      <c r="E2298" s="704"/>
      <c r="F2298" s="661">
        <v>180</v>
      </c>
      <c r="G2298" s="665">
        <f>VLOOKUP(D2296,'ENSAIOS DE ORÇAMENTO'!$C$3:$L$79,5,FALSE)</f>
        <v>0.60405201000000008</v>
      </c>
      <c r="H2298" s="663">
        <f t="shared" ref="H2298" si="672">IF(F2298&lt;=30,(1.05*F2298+2.18)*G2298,((1.05*30+2.18)+0.87*(F2298-30))*G2298)</f>
        <v>99.17325900180002</v>
      </c>
      <c r="I2298" s="380"/>
      <c r="J2298" s="631"/>
      <c r="K2298" s="593">
        <f t="shared" si="651"/>
        <v>0</v>
      </c>
      <c r="L2298" s="594"/>
      <c r="M2298" s="600"/>
      <c r="N2298" s="600">
        <v>0</v>
      </c>
      <c r="O2298" s="287">
        <f t="shared" si="664"/>
        <v>0</v>
      </c>
      <c r="P2298" s="287">
        <f t="shared" si="665"/>
        <v>0</v>
      </c>
      <c r="Q2298" s="288"/>
      <c r="R2298" s="311" t="str">
        <f>IF(P2296&gt;0,"xy","")</f>
        <v/>
      </c>
      <c r="S2298" s="378" t="str">
        <f t="shared" si="648"/>
        <v/>
      </c>
    </row>
    <row r="2299" spans="2:19" hidden="1" x14ac:dyDescent="0.2">
      <c r="B2299" s="771" t="s">
        <v>168</v>
      </c>
      <c r="C2299" s="596"/>
      <c r="D2299" s="383" t="s">
        <v>253</v>
      </c>
      <c r="E2299" s="704"/>
      <c r="F2299" s="661">
        <v>20</v>
      </c>
      <c r="G2299" s="665">
        <f>VLOOKUP(D2296,'ENSAIOS DE ORÇAMENTO'!$C$3:$L$79,6,FALSE)</f>
        <v>0.71795910000000007</v>
      </c>
      <c r="H2299" s="663">
        <f>IF(F2299&lt;=30,(1.05*F2299+2.18)*G2299,((1.05*30+2.18)+0.87*(F2299-30))*G2299)</f>
        <v>16.642291938000003</v>
      </c>
      <c r="I2299" s="380"/>
      <c r="J2299" s="631"/>
      <c r="K2299" s="593">
        <f t="shared" si="651"/>
        <v>0</v>
      </c>
      <c r="L2299" s="594"/>
      <c r="M2299" s="600"/>
      <c r="N2299" s="600">
        <v>0</v>
      </c>
      <c r="O2299" s="287">
        <f t="shared" si="664"/>
        <v>0</v>
      </c>
      <c r="P2299" s="287">
        <f t="shared" si="665"/>
        <v>0</v>
      </c>
      <c r="Q2299" s="288"/>
      <c r="R2299" s="243" t="str">
        <f>IF(P2296&gt;0,"xy","")</f>
        <v/>
      </c>
      <c r="S2299" s="378" t="str">
        <f t="shared" si="648"/>
        <v/>
      </c>
    </row>
    <row r="2300" spans="2:19" hidden="1" x14ac:dyDescent="0.2">
      <c r="B2300" s="771" t="s">
        <v>168</v>
      </c>
      <c r="C2300" s="596"/>
      <c r="D2300" s="383" t="s">
        <v>402</v>
      </c>
      <c r="E2300" s="704"/>
      <c r="F2300" s="661">
        <v>30</v>
      </c>
      <c r="G2300" s="665">
        <f>VLOOKUP(D2296,'ENSAIOS DE ORÇAMENTO'!$C$3:$L$79,3,FALSE)</f>
        <v>0</v>
      </c>
      <c r="H2300" s="663">
        <f>IF(F2300&lt;=30,(1.05*F2300+2.18)*G2300,((1.05*30+2.18)+0.87*(F2300-30))*G2300)</f>
        <v>0</v>
      </c>
      <c r="I2300" s="380"/>
      <c r="J2300" s="631"/>
      <c r="K2300" s="593">
        <f t="shared" si="651"/>
        <v>0</v>
      </c>
      <c r="L2300" s="594"/>
      <c r="M2300" s="600"/>
      <c r="N2300" s="600">
        <v>0</v>
      </c>
      <c r="O2300" s="287">
        <f t="shared" si="664"/>
        <v>0</v>
      </c>
      <c r="P2300" s="287">
        <f t="shared" si="665"/>
        <v>0</v>
      </c>
      <c r="Q2300" s="288"/>
      <c r="R2300" s="311" t="str">
        <f>IF(P2296&gt;0,"xy","")</f>
        <v/>
      </c>
      <c r="S2300" s="378" t="str">
        <f t="shared" si="648"/>
        <v/>
      </c>
    </row>
    <row r="2301" spans="2:19" hidden="1" x14ac:dyDescent="0.2">
      <c r="B2301" s="771" t="s">
        <v>168</v>
      </c>
      <c r="C2301" s="596"/>
      <c r="D2301" s="383" t="s">
        <v>403</v>
      </c>
      <c r="E2301" s="704"/>
      <c r="F2301" s="661">
        <v>500</v>
      </c>
      <c r="G2301" s="665">
        <f>VLOOKUP(D2296,'ENSAIOS DE ORÇAMENTO'!$C$3:$L$79,10,FALSE)</f>
        <v>0</v>
      </c>
      <c r="H2301" s="663">
        <f>IF(F2301&lt;=30,(1.05*F2301+2.18)*G2301,((1.05*30+2.18)+0.87*(F2301-30))*G2301)</f>
        <v>0</v>
      </c>
      <c r="I2301" s="380"/>
      <c r="J2301" s="631"/>
      <c r="K2301" s="593">
        <f t="shared" si="651"/>
        <v>0</v>
      </c>
      <c r="L2301" s="594"/>
      <c r="M2301" s="600"/>
      <c r="N2301" s="600">
        <v>0</v>
      </c>
      <c r="O2301" s="287">
        <f t="shared" si="664"/>
        <v>0</v>
      </c>
      <c r="P2301" s="287">
        <f t="shared" si="665"/>
        <v>0</v>
      </c>
      <c r="Q2301" s="288"/>
      <c r="R2301" s="311" t="str">
        <f>IF(P2296&gt;0,"xy","")</f>
        <v/>
      </c>
      <c r="S2301" s="378" t="str">
        <f t="shared" ref="S2301:S2364" si="673">IF(R2301="x","x",IF(R2301="y","x",IF(R2301="xy","x",IF(P2301&gt;0,"x",""))))</f>
        <v/>
      </c>
    </row>
    <row r="2302" spans="2:19" hidden="1" x14ac:dyDescent="0.2">
      <c r="B2302" s="771" t="s">
        <v>128</v>
      </c>
      <c r="C2302" s="596" t="s">
        <v>207</v>
      </c>
      <c r="D2302" s="383" t="s">
        <v>414</v>
      </c>
      <c r="E2302" s="704"/>
      <c r="F2302" s="661"/>
      <c r="G2302" s="665"/>
      <c r="H2302" s="664">
        <f>SUM(H2303:H2307)</f>
        <v>336.48865161819998</v>
      </c>
      <c r="I2302" s="380">
        <f>VLOOKUP(D2302,'ENSAIOS DE ORÇAMENTO'!$C$3:$L$79,8,FALSE)</f>
        <v>1258.9916435333332</v>
      </c>
      <c r="J2302" s="631">
        <f t="shared" ref="J2302" si="674">IF(ISBLANK(I2302),"",SUM(H2302:I2302))</f>
        <v>1595.4802951515333</v>
      </c>
      <c r="K2302" s="593">
        <f t="shared" si="651"/>
        <v>2022.27</v>
      </c>
      <c r="L2302" s="594" t="s">
        <v>21</v>
      </c>
      <c r="M2302" s="30"/>
      <c r="N2302" s="30">
        <v>2022.27</v>
      </c>
      <c r="O2302" s="287">
        <f t="shared" si="664"/>
        <v>0</v>
      </c>
      <c r="P2302" s="287">
        <f t="shared" si="665"/>
        <v>0</v>
      </c>
      <c r="Q2302" s="288"/>
      <c r="S2302" s="378" t="str">
        <f t="shared" si="673"/>
        <v/>
      </c>
    </row>
    <row r="2303" spans="2:19" hidden="1" x14ac:dyDescent="0.2">
      <c r="B2303" s="771" t="s">
        <v>168</v>
      </c>
      <c r="C2303" s="596"/>
      <c r="D2303" s="383" t="s">
        <v>213</v>
      </c>
      <c r="E2303" s="704"/>
      <c r="F2303" s="661">
        <v>500</v>
      </c>
      <c r="G2303" s="665">
        <f>VLOOKUP(D2302,'ENSAIOS DE ORÇAMENTO'!$C$3:$L$79,4,FALSE)</f>
        <v>0.38327894999999995</v>
      </c>
      <c r="H2303" s="664">
        <f>IF(F2303&lt;=30,(0.75*F2303+6.29)*G2303,((0.75*30+6.29)+0.62*(F2303-30))*G2303)</f>
        <v>122.72208700049998</v>
      </c>
      <c r="I2303" s="380"/>
      <c r="J2303" s="631"/>
      <c r="K2303" s="593">
        <f t="shared" si="651"/>
        <v>0</v>
      </c>
      <c r="L2303" s="594"/>
      <c r="M2303" s="600"/>
      <c r="N2303" s="600">
        <v>0</v>
      </c>
      <c r="O2303" s="287">
        <f t="shared" si="664"/>
        <v>0</v>
      </c>
      <c r="P2303" s="287">
        <f t="shared" si="665"/>
        <v>0</v>
      </c>
      <c r="Q2303" s="288"/>
      <c r="R2303" s="311" t="str">
        <f>IF(P2302&gt;0,"xy","")</f>
        <v/>
      </c>
      <c r="S2303" s="378" t="str">
        <f t="shared" si="673"/>
        <v/>
      </c>
    </row>
    <row r="2304" spans="2:19" hidden="1" x14ac:dyDescent="0.2">
      <c r="B2304" s="771" t="s">
        <v>168</v>
      </c>
      <c r="C2304" s="596"/>
      <c r="D2304" s="383" t="s">
        <v>249</v>
      </c>
      <c r="E2304" s="704"/>
      <c r="F2304" s="661">
        <v>180</v>
      </c>
      <c r="G2304" s="665">
        <f>VLOOKUP(D2302,'ENSAIOS DE ORÇAMENTO'!$C$3:$L$79,5,FALSE)</f>
        <v>1.1143076149999998</v>
      </c>
      <c r="H2304" s="663">
        <f t="shared" ref="H2304" si="675">IF(F2304&lt;=30,(1.05*F2304+2.18)*G2304,((1.05*30+2.18)+0.87*(F2304-30))*G2304)</f>
        <v>182.94702423069998</v>
      </c>
      <c r="I2304" s="380"/>
      <c r="J2304" s="631"/>
      <c r="K2304" s="593">
        <f t="shared" si="651"/>
        <v>0</v>
      </c>
      <c r="L2304" s="594"/>
      <c r="M2304" s="600"/>
      <c r="N2304" s="600">
        <v>0</v>
      </c>
      <c r="O2304" s="287">
        <f t="shared" si="664"/>
        <v>0</v>
      </c>
      <c r="P2304" s="287">
        <f t="shared" si="665"/>
        <v>0</v>
      </c>
      <c r="Q2304" s="288"/>
      <c r="R2304" s="311" t="str">
        <f>IF(P2302&gt;0,"xy","")</f>
        <v/>
      </c>
      <c r="S2304" s="378" t="str">
        <f t="shared" si="673"/>
        <v/>
      </c>
    </row>
    <row r="2305" spans="2:19" hidden="1" x14ac:dyDescent="0.2">
      <c r="B2305" s="771" t="s">
        <v>168</v>
      </c>
      <c r="C2305" s="596"/>
      <c r="D2305" s="383" t="s">
        <v>253</v>
      </c>
      <c r="E2305" s="704"/>
      <c r="F2305" s="661">
        <v>20</v>
      </c>
      <c r="G2305" s="665">
        <f>VLOOKUP(D2302,'ENSAIOS DE ORÇAMENTO'!$C$3:$L$79,6,FALSE)</f>
        <v>1.3295746499999999</v>
      </c>
      <c r="H2305" s="663">
        <f>IF(F2305&lt;=30,(1.05*F2305+2.18)*G2305,((1.05*30+2.18)+0.87*(F2305-30))*G2305)</f>
        <v>30.819540386999996</v>
      </c>
      <c r="I2305" s="380"/>
      <c r="J2305" s="631"/>
      <c r="K2305" s="593">
        <f t="shared" si="651"/>
        <v>0</v>
      </c>
      <c r="L2305" s="594"/>
      <c r="M2305" s="600"/>
      <c r="N2305" s="600">
        <v>0</v>
      </c>
      <c r="O2305" s="287">
        <f t="shared" si="664"/>
        <v>0</v>
      </c>
      <c r="P2305" s="287">
        <f t="shared" si="665"/>
        <v>0</v>
      </c>
      <c r="Q2305" s="288"/>
      <c r="R2305" s="243" t="str">
        <f>IF(P2302&gt;0,"xy","")</f>
        <v/>
      </c>
      <c r="S2305" s="378" t="str">
        <f t="shared" si="673"/>
        <v/>
      </c>
    </row>
    <row r="2306" spans="2:19" hidden="1" x14ac:dyDescent="0.2">
      <c r="B2306" s="771" t="s">
        <v>168</v>
      </c>
      <c r="C2306" s="596"/>
      <c r="D2306" s="383" t="s">
        <v>402</v>
      </c>
      <c r="E2306" s="704"/>
      <c r="F2306" s="661">
        <v>30</v>
      </c>
      <c r="G2306" s="665">
        <f>VLOOKUP(D2302,'ENSAIOS DE ORÇAMENTO'!$C$3:$L$79,3,FALSE)</f>
        <v>0</v>
      </c>
      <c r="H2306" s="663">
        <f>IF(F2306&lt;=30,(1.05*F2306+2.18)*G2306,((1.05*30+2.18)+0.87*(F2306-30))*G2306)</f>
        <v>0</v>
      </c>
      <c r="I2306" s="380"/>
      <c r="J2306" s="631"/>
      <c r="K2306" s="593">
        <f t="shared" ref="K2306:K2369" si="676">IF(ISBLANK(I2306),0,ROUND(J2306*(1+$F$10)*(1+$F$11*E2306),2))</f>
        <v>0</v>
      </c>
      <c r="L2306" s="594"/>
      <c r="M2306" s="600"/>
      <c r="N2306" s="600">
        <v>0</v>
      </c>
      <c r="O2306" s="287">
        <f t="shared" si="664"/>
        <v>0</v>
      </c>
      <c r="P2306" s="287">
        <f t="shared" si="665"/>
        <v>0</v>
      </c>
      <c r="Q2306" s="288"/>
      <c r="R2306" s="311" t="str">
        <f>IF(P2302&gt;0,"xy","")</f>
        <v/>
      </c>
      <c r="S2306" s="378" t="str">
        <f t="shared" si="673"/>
        <v/>
      </c>
    </row>
    <row r="2307" spans="2:19" hidden="1" x14ac:dyDescent="0.2">
      <c r="B2307" s="771" t="s">
        <v>168</v>
      </c>
      <c r="C2307" s="596"/>
      <c r="D2307" s="383" t="s">
        <v>403</v>
      </c>
      <c r="E2307" s="704"/>
      <c r="F2307" s="661">
        <v>500</v>
      </c>
      <c r="G2307" s="665">
        <f>VLOOKUP(D2302,'ENSAIOS DE ORÇAMENTO'!$C$3:$L$79,10,FALSE)</f>
        <v>0</v>
      </c>
      <c r="H2307" s="663">
        <f>IF(F2307&lt;=30,(1.05*F2307+2.18)*G2307,((1.05*30+2.18)+0.87*(F2307-30))*G2307)</f>
        <v>0</v>
      </c>
      <c r="I2307" s="380"/>
      <c r="J2307" s="631"/>
      <c r="K2307" s="593">
        <f t="shared" si="676"/>
        <v>0</v>
      </c>
      <c r="L2307" s="594"/>
      <c r="M2307" s="600"/>
      <c r="N2307" s="600">
        <v>0</v>
      </c>
      <c r="O2307" s="287">
        <f t="shared" si="664"/>
        <v>0</v>
      </c>
      <c r="P2307" s="287">
        <f t="shared" si="665"/>
        <v>0</v>
      </c>
      <c r="Q2307" s="288"/>
      <c r="R2307" s="311" t="str">
        <f>IF(P2302&gt;0,"xy","")</f>
        <v/>
      </c>
      <c r="S2307" s="378" t="str">
        <f t="shared" si="673"/>
        <v/>
      </c>
    </row>
    <row r="2308" spans="2:19" hidden="1" x14ac:dyDescent="0.2">
      <c r="B2308" s="771" t="s">
        <v>129</v>
      </c>
      <c r="C2308" s="596" t="s">
        <v>207</v>
      </c>
      <c r="D2308" s="383" t="s">
        <v>415</v>
      </c>
      <c r="E2308" s="704"/>
      <c r="F2308" s="661"/>
      <c r="G2308" s="665"/>
      <c r="H2308" s="664">
        <f>SUM(H2309:H2313)</f>
        <v>494.42067249520005</v>
      </c>
      <c r="I2308" s="380">
        <f>VLOOKUP(D2308,'ENSAIOS DE ORÇAMENTO'!$C$3:$L$79,8,FALSE)</f>
        <v>1723.3806070666665</v>
      </c>
      <c r="J2308" s="631">
        <f t="shared" ref="J2308" si="677">IF(ISBLANK(I2308),"",SUM(H2308:I2308))</f>
        <v>2217.8012795618665</v>
      </c>
      <c r="K2308" s="593">
        <f t="shared" si="676"/>
        <v>2811.06</v>
      </c>
      <c r="L2308" s="594" t="s">
        <v>21</v>
      </c>
      <c r="M2308" s="30"/>
      <c r="N2308" s="30">
        <v>2811.06</v>
      </c>
      <c r="O2308" s="287">
        <f t="shared" si="664"/>
        <v>0</v>
      </c>
      <c r="P2308" s="287">
        <f t="shared" si="665"/>
        <v>0</v>
      </c>
      <c r="Q2308" s="288"/>
      <c r="S2308" s="378" t="str">
        <f t="shared" si="673"/>
        <v/>
      </c>
    </row>
    <row r="2309" spans="2:19" hidden="1" x14ac:dyDescent="0.2">
      <c r="B2309" s="771" t="s">
        <v>168</v>
      </c>
      <c r="C2309" s="596"/>
      <c r="D2309" s="383" t="s">
        <v>213</v>
      </c>
      <c r="E2309" s="704"/>
      <c r="F2309" s="661">
        <v>500</v>
      </c>
      <c r="G2309" s="665">
        <f>VLOOKUP(D2308,'ENSAIOS DE ORÇAMENTO'!$C$3:$L$79,4,FALSE)</f>
        <v>0.56408220000000009</v>
      </c>
      <c r="H2309" s="664">
        <f>IF(F2309&lt;=30,(0.75*F2309+6.29)*G2309,((0.75*30+6.29)+0.62*(F2309-30))*G2309)</f>
        <v>180.61347961800001</v>
      </c>
      <c r="I2309" s="380"/>
      <c r="J2309" s="631"/>
      <c r="K2309" s="593">
        <f t="shared" si="676"/>
        <v>0</v>
      </c>
      <c r="L2309" s="594"/>
      <c r="M2309" s="600"/>
      <c r="N2309" s="600">
        <v>0</v>
      </c>
      <c r="O2309" s="287">
        <f t="shared" si="664"/>
        <v>0</v>
      </c>
      <c r="P2309" s="287">
        <f t="shared" si="665"/>
        <v>0</v>
      </c>
      <c r="Q2309" s="288"/>
      <c r="R2309" s="311" t="str">
        <f>IF(P2308&gt;0,"xy","")</f>
        <v/>
      </c>
      <c r="S2309" s="378" t="str">
        <f t="shared" si="673"/>
        <v/>
      </c>
    </row>
    <row r="2310" spans="2:19" hidden="1" x14ac:dyDescent="0.2">
      <c r="B2310" s="771" t="s">
        <v>168</v>
      </c>
      <c r="C2310" s="596"/>
      <c r="D2310" s="383" t="s">
        <v>249</v>
      </c>
      <c r="E2310" s="704"/>
      <c r="F2310" s="661">
        <v>180</v>
      </c>
      <c r="G2310" s="665">
        <f>VLOOKUP(D2308,'ENSAIOS DE ORÇAMENTO'!$C$3:$L$79,5,FALSE)</f>
        <v>1.6356421400000001</v>
      </c>
      <c r="H2310" s="663">
        <f t="shared" ref="H2310" si="678">IF(F2310&lt;=30,(1.05*F2310+2.18)*G2310,((1.05*30+2.18)+0.87*(F2310-30))*G2310)</f>
        <v>268.53972654520004</v>
      </c>
      <c r="I2310" s="380"/>
      <c r="J2310" s="631"/>
      <c r="K2310" s="593">
        <f t="shared" si="676"/>
        <v>0</v>
      </c>
      <c r="L2310" s="594"/>
      <c r="M2310" s="600"/>
      <c r="N2310" s="600">
        <v>0</v>
      </c>
      <c r="O2310" s="287">
        <f t="shared" si="664"/>
        <v>0</v>
      </c>
      <c r="P2310" s="287">
        <f t="shared" si="665"/>
        <v>0</v>
      </c>
      <c r="Q2310" s="288"/>
      <c r="R2310" s="311" t="str">
        <f>IF(P2308&gt;0,"xy","")</f>
        <v/>
      </c>
      <c r="S2310" s="378" t="str">
        <f t="shared" si="673"/>
        <v/>
      </c>
    </row>
    <row r="2311" spans="2:19" hidden="1" x14ac:dyDescent="0.2">
      <c r="B2311" s="771" t="s">
        <v>168</v>
      </c>
      <c r="C2311" s="596"/>
      <c r="D2311" s="383" t="s">
        <v>253</v>
      </c>
      <c r="E2311" s="704"/>
      <c r="F2311" s="661">
        <v>20</v>
      </c>
      <c r="G2311" s="665">
        <f>VLOOKUP(D2308,'ENSAIOS DE ORÇAMENTO'!$C$3:$L$79,6,FALSE)</f>
        <v>1.9528674000000004</v>
      </c>
      <c r="H2311" s="663">
        <f>IF(F2311&lt;=30,(1.05*F2311+2.18)*G2311,((1.05*30+2.18)+0.87*(F2311-30))*G2311)</f>
        <v>45.267466332000005</v>
      </c>
      <c r="I2311" s="380"/>
      <c r="J2311" s="631"/>
      <c r="K2311" s="593">
        <f t="shared" si="676"/>
        <v>0</v>
      </c>
      <c r="L2311" s="594"/>
      <c r="M2311" s="600"/>
      <c r="N2311" s="600">
        <v>0</v>
      </c>
      <c r="O2311" s="287">
        <f t="shared" si="664"/>
        <v>0</v>
      </c>
      <c r="P2311" s="287">
        <f t="shared" si="665"/>
        <v>0</v>
      </c>
      <c r="Q2311" s="288"/>
      <c r="R2311" s="243" t="str">
        <f>IF(P2308&gt;0,"xy","")</f>
        <v/>
      </c>
      <c r="S2311" s="378" t="str">
        <f t="shared" si="673"/>
        <v/>
      </c>
    </row>
    <row r="2312" spans="2:19" hidden="1" x14ac:dyDescent="0.2">
      <c r="B2312" s="771" t="s">
        <v>168</v>
      </c>
      <c r="C2312" s="596"/>
      <c r="D2312" s="383" t="s">
        <v>402</v>
      </c>
      <c r="E2312" s="704"/>
      <c r="F2312" s="661">
        <v>30</v>
      </c>
      <c r="G2312" s="665">
        <f>VLOOKUP(D2308,'ENSAIOS DE ORÇAMENTO'!$C$3:$L$79,3,FALSE)</f>
        <v>0</v>
      </c>
      <c r="H2312" s="663">
        <f>IF(F2312&lt;=30,(1.05*F2312+2.18)*G2312,((1.05*30+2.18)+0.87*(F2312-30))*G2312)</f>
        <v>0</v>
      </c>
      <c r="I2312" s="380"/>
      <c r="J2312" s="631"/>
      <c r="K2312" s="593">
        <f t="shared" si="676"/>
        <v>0</v>
      </c>
      <c r="L2312" s="594"/>
      <c r="M2312" s="600"/>
      <c r="N2312" s="600">
        <v>0</v>
      </c>
      <c r="O2312" s="287">
        <f t="shared" si="664"/>
        <v>0</v>
      </c>
      <c r="P2312" s="287">
        <f t="shared" si="665"/>
        <v>0</v>
      </c>
      <c r="Q2312" s="288"/>
      <c r="R2312" s="311" t="str">
        <f>IF(P2308&gt;0,"xy","")</f>
        <v/>
      </c>
      <c r="S2312" s="378" t="str">
        <f t="shared" si="673"/>
        <v/>
      </c>
    </row>
    <row r="2313" spans="2:19" hidden="1" x14ac:dyDescent="0.2">
      <c r="B2313" s="771" t="s">
        <v>168</v>
      </c>
      <c r="C2313" s="596"/>
      <c r="D2313" s="383" t="s">
        <v>403</v>
      </c>
      <c r="E2313" s="704"/>
      <c r="F2313" s="661">
        <v>500</v>
      </c>
      <c r="G2313" s="665">
        <f>VLOOKUP(D2308,'ENSAIOS DE ORÇAMENTO'!$C$3:$L$79,10,FALSE)</f>
        <v>0</v>
      </c>
      <c r="H2313" s="663">
        <f>IF(F2313&lt;=30,(1.05*F2313+2.18)*G2313,((1.05*30+2.18)+0.87*(F2313-30))*G2313)</f>
        <v>0</v>
      </c>
      <c r="I2313" s="380"/>
      <c r="J2313" s="631"/>
      <c r="K2313" s="593">
        <f t="shared" si="676"/>
        <v>0</v>
      </c>
      <c r="L2313" s="594"/>
      <c r="M2313" s="600"/>
      <c r="N2313" s="600">
        <v>0</v>
      </c>
      <c r="O2313" s="287">
        <f t="shared" si="664"/>
        <v>0</v>
      </c>
      <c r="P2313" s="287">
        <f t="shared" si="665"/>
        <v>0</v>
      </c>
      <c r="Q2313" s="288"/>
      <c r="R2313" s="311" t="str">
        <f>IF(P2308&gt;0,"xy","")</f>
        <v/>
      </c>
      <c r="S2313" s="378" t="str">
        <f t="shared" si="673"/>
        <v/>
      </c>
    </row>
    <row r="2314" spans="2:19" hidden="1" x14ac:dyDescent="0.2">
      <c r="B2314" s="771" t="s">
        <v>130</v>
      </c>
      <c r="C2314" s="596" t="s">
        <v>207</v>
      </c>
      <c r="D2314" s="383" t="s">
        <v>416</v>
      </c>
      <c r="E2314" s="704"/>
      <c r="F2314" s="661"/>
      <c r="G2314" s="665"/>
      <c r="H2314" s="664">
        <f>SUM(H2315:H2319)</f>
        <v>683.88857726719993</v>
      </c>
      <c r="I2314" s="380">
        <f>VLOOKUP(D2314,'ENSAIOS DE ORÇAMENTO'!$C$3:$L$79,8,FALSE)</f>
        <v>2357.1571455999997</v>
      </c>
      <c r="J2314" s="631">
        <f t="shared" ref="J2314" si="679">IF(ISBLANK(I2314),"",SUM(H2314:I2314))</f>
        <v>3041.0457228671994</v>
      </c>
      <c r="K2314" s="593">
        <f t="shared" si="676"/>
        <v>3854.53</v>
      </c>
      <c r="L2314" s="594" t="s">
        <v>21</v>
      </c>
      <c r="M2314" s="30"/>
      <c r="N2314" s="30">
        <v>3854.53</v>
      </c>
      <c r="O2314" s="287">
        <f t="shared" si="664"/>
        <v>0</v>
      </c>
      <c r="P2314" s="287">
        <f t="shared" si="665"/>
        <v>0</v>
      </c>
      <c r="Q2314" s="288"/>
      <c r="S2314" s="378" t="str">
        <f t="shared" si="673"/>
        <v/>
      </c>
    </row>
    <row r="2315" spans="2:19" hidden="1" x14ac:dyDescent="0.2">
      <c r="B2315" s="771" t="s">
        <v>168</v>
      </c>
      <c r="C2315" s="596"/>
      <c r="D2315" s="383" t="s">
        <v>213</v>
      </c>
      <c r="E2315" s="704"/>
      <c r="F2315" s="661">
        <v>500</v>
      </c>
      <c r="G2315" s="665">
        <f>VLOOKUP(D2314,'ENSAIOS DE ORÇAMENTO'!$C$3:$L$79,4,FALSE)</f>
        <v>0.77929919999999997</v>
      </c>
      <c r="H2315" s="664">
        <f>IF(F2315&lt;=30,(0.75*F2315+6.29)*G2315,((0.75*30+6.29)+0.62*(F2315-30))*G2315)</f>
        <v>249.52381084799998</v>
      </c>
      <c r="I2315" s="380"/>
      <c r="J2315" s="631"/>
      <c r="K2315" s="593">
        <f t="shared" si="676"/>
        <v>0</v>
      </c>
      <c r="L2315" s="594"/>
      <c r="M2315" s="600"/>
      <c r="N2315" s="600">
        <v>0</v>
      </c>
      <c r="O2315" s="287">
        <f t="shared" si="664"/>
        <v>0</v>
      </c>
      <c r="P2315" s="287">
        <f t="shared" si="665"/>
        <v>0</v>
      </c>
      <c r="Q2315" s="288"/>
      <c r="R2315" s="311" t="str">
        <f>IF(P2314&gt;0,"xy","")</f>
        <v/>
      </c>
      <c r="S2315" s="378" t="str">
        <f t="shared" si="673"/>
        <v/>
      </c>
    </row>
    <row r="2316" spans="2:19" hidden="1" x14ac:dyDescent="0.2">
      <c r="B2316" s="771" t="s">
        <v>168</v>
      </c>
      <c r="C2316" s="596"/>
      <c r="D2316" s="383" t="s">
        <v>249</v>
      </c>
      <c r="E2316" s="704"/>
      <c r="F2316" s="661">
        <v>180</v>
      </c>
      <c r="G2316" s="665">
        <f>VLOOKUP(D2314,'ENSAIOS DE ORÇAMENTO'!$C$3:$L$79,5,FALSE)</f>
        <v>2.26417504</v>
      </c>
      <c r="H2316" s="663">
        <f t="shared" ref="H2316" si="680">IF(F2316&lt;=30,(1.05*F2316+2.18)*G2316,((1.05*30+2.18)+0.87*(F2316-30))*G2316)</f>
        <v>371.73225806720001</v>
      </c>
      <c r="I2316" s="380"/>
      <c r="J2316" s="631"/>
      <c r="K2316" s="593">
        <f t="shared" si="676"/>
        <v>0</v>
      </c>
      <c r="L2316" s="594"/>
      <c r="M2316" s="600"/>
      <c r="N2316" s="600">
        <v>0</v>
      </c>
      <c r="O2316" s="287">
        <f t="shared" si="664"/>
        <v>0</v>
      </c>
      <c r="P2316" s="287">
        <f t="shared" si="665"/>
        <v>0</v>
      </c>
      <c r="Q2316" s="288"/>
      <c r="R2316" s="311" t="str">
        <f>IF(P2314&gt;0,"xy","")</f>
        <v/>
      </c>
      <c r="S2316" s="378" t="str">
        <f t="shared" si="673"/>
        <v/>
      </c>
    </row>
    <row r="2317" spans="2:19" hidden="1" x14ac:dyDescent="0.2">
      <c r="B2317" s="771" t="s">
        <v>168</v>
      </c>
      <c r="C2317" s="596"/>
      <c r="D2317" s="383" t="s">
        <v>253</v>
      </c>
      <c r="E2317" s="704"/>
      <c r="F2317" s="661">
        <v>20</v>
      </c>
      <c r="G2317" s="665">
        <f>VLOOKUP(D2314,'ENSAIOS DE ORÇAMENTO'!$C$3:$L$79,6,FALSE)</f>
        <v>2.7020064000000001</v>
      </c>
      <c r="H2317" s="663">
        <f>IF(F2317&lt;=30,(1.05*F2317+2.18)*G2317,((1.05*30+2.18)+0.87*(F2317-30))*G2317)</f>
        <v>62.632508352000002</v>
      </c>
      <c r="I2317" s="380"/>
      <c r="J2317" s="631"/>
      <c r="K2317" s="593">
        <f t="shared" si="676"/>
        <v>0</v>
      </c>
      <c r="L2317" s="594"/>
      <c r="M2317" s="600"/>
      <c r="N2317" s="600">
        <v>0</v>
      </c>
      <c r="O2317" s="287">
        <f t="shared" si="664"/>
        <v>0</v>
      </c>
      <c r="P2317" s="287">
        <f t="shared" si="665"/>
        <v>0</v>
      </c>
      <c r="Q2317" s="288"/>
      <c r="R2317" s="243" t="str">
        <f>IF(P2314&gt;0,"xy","")</f>
        <v/>
      </c>
      <c r="S2317" s="378" t="str">
        <f t="shared" si="673"/>
        <v/>
      </c>
    </row>
    <row r="2318" spans="2:19" hidden="1" x14ac:dyDescent="0.2">
      <c r="B2318" s="771" t="s">
        <v>168</v>
      </c>
      <c r="C2318" s="596"/>
      <c r="D2318" s="383" t="s">
        <v>402</v>
      </c>
      <c r="E2318" s="704"/>
      <c r="F2318" s="661">
        <v>30</v>
      </c>
      <c r="G2318" s="665">
        <f>VLOOKUP(D2314,'ENSAIOS DE ORÇAMENTO'!$C$3:$L$79,3,FALSE)</f>
        <v>0</v>
      </c>
      <c r="H2318" s="663">
        <f>IF(F2318&lt;=30,(1.05*F2318+2.18)*G2318,((1.05*30+2.18)+0.87*(F2318-30))*G2318)</f>
        <v>0</v>
      </c>
      <c r="I2318" s="380"/>
      <c r="J2318" s="631"/>
      <c r="K2318" s="593">
        <f t="shared" si="676"/>
        <v>0</v>
      </c>
      <c r="L2318" s="594"/>
      <c r="M2318" s="600"/>
      <c r="N2318" s="600">
        <v>0</v>
      </c>
      <c r="O2318" s="287">
        <f t="shared" si="664"/>
        <v>0</v>
      </c>
      <c r="P2318" s="287">
        <f t="shared" si="665"/>
        <v>0</v>
      </c>
      <c r="Q2318" s="288"/>
      <c r="R2318" s="311" t="str">
        <f>IF(P2314&gt;0,"xy","")</f>
        <v/>
      </c>
      <c r="S2318" s="378" t="str">
        <f t="shared" si="673"/>
        <v/>
      </c>
    </row>
    <row r="2319" spans="2:19" hidden="1" x14ac:dyDescent="0.2">
      <c r="B2319" s="771" t="s">
        <v>168</v>
      </c>
      <c r="C2319" s="596"/>
      <c r="D2319" s="383" t="s">
        <v>403</v>
      </c>
      <c r="E2319" s="704"/>
      <c r="F2319" s="661">
        <v>500</v>
      </c>
      <c r="G2319" s="665">
        <f>VLOOKUP(D2314,'ENSAIOS DE ORÇAMENTO'!$C$3:$L$79,10,FALSE)</f>
        <v>0</v>
      </c>
      <c r="H2319" s="663">
        <f>IF(F2319&lt;=30,(1.05*F2319+2.18)*G2319,((1.05*30+2.18)+0.87*(F2319-30))*G2319)</f>
        <v>0</v>
      </c>
      <c r="I2319" s="380"/>
      <c r="J2319" s="631"/>
      <c r="K2319" s="593">
        <f t="shared" si="676"/>
        <v>0</v>
      </c>
      <c r="L2319" s="594"/>
      <c r="M2319" s="600"/>
      <c r="N2319" s="600">
        <v>0</v>
      </c>
      <c r="O2319" s="287">
        <f t="shared" si="664"/>
        <v>0</v>
      </c>
      <c r="P2319" s="287">
        <f t="shared" si="665"/>
        <v>0</v>
      </c>
      <c r="Q2319" s="288"/>
      <c r="R2319" s="311" t="str">
        <f>IF(P2314&gt;0,"xy","")</f>
        <v/>
      </c>
      <c r="S2319" s="378" t="str">
        <f t="shared" si="673"/>
        <v/>
      </c>
    </row>
    <row r="2320" spans="2:19" hidden="1" x14ac:dyDescent="0.2">
      <c r="B2320" s="771" t="s">
        <v>131</v>
      </c>
      <c r="C2320" s="596" t="s">
        <v>207</v>
      </c>
      <c r="D2320" s="383" t="s">
        <v>417</v>
      </c>
      <c r="E2320" s="704"/>
      <c r="F2320" s="661"/>
      <c r="G2320" s="665"/>
      <c r="H2320" s="664">
        <f>SUM(H2321:H2325)</f>
        <v>122.87777076480002</v>
      </c>
      <c r="I2320" s="380">
        <f>VLOOKUP(D2320,'ENSAIOS DE ORÇAMENTO'!$C$3:$L$79,8,FALSE)</f>
        <v>980.9584573333334</v>
      </c>
      <c r="J2320" s="631">
        <f t="shared" ref="J2320" si="681">IF(ISBLANK(I2320),"",SUM(H2320:I2320))</f>
        <v>1103.8362280981335</v>
      </c>
      <c r="K2320" s="593">
        <f t="shared" si="676"/>
        <v>1399.11</v>
      </c>
      <c r="L2320" s="594" t="s">
        <v>21</v>
      </c>
      <c r="M2320" s="30"/>
      <c r="N2320" s="30">
        <v>1399.11</v>
      </c>
      <c r="O2320" s="287">
        <f t="shared" si="664"/>
        <v>0</v>
      </c>
      <c r="P2320" s="287">
        <f t="shared" si="665"/>
        <v>0</v>
      </c>
      <c r="Q2320" s="288"/>
      <c r="S2320" s="378" t="str">
        <f t="shared" si="673"/>
        <v/>
      </c>
    </row>
    <row r="2321" spans="2:19" hidden="1" x14ac:dyDescent="0.2">
      <c r="B2321" s="771" t="s">
        <v>168</v>
      </c>
      <c r="C2321" s="596"/>
      <c r="D2321" s="383" t="s">
        <v>213</v>
      </c>
      <c r="E2321" s="704"/>
      <c r="F2321" s="661">
        <v>500</v>
      </c>
      <c r="G2321" s="665">
        <f>VLOOKUP(D2320,'ENSAIOS DE ORÇAMENTO'!$C$3:$L$79,4,FALSE)</f>
        <v>0.13625280000000003</v>
      </c>
      <c r="H2321" s="664">
        <f>IF(F2321&lt;=30,(0.75*F2321+6.29)*G2321,((0.75*30+6.29)+0.62*(F2321-30))*G2321)</f>
        <v>43.62678403200001</v>
      </c>
      <c r="I2321" s="380"/>
      <c r="J2321" s="631"/>
      <c r="K2321" s="593">
        <f t="shared" si="676"/>
        <v>0</v>
      </c>
      <c r="L2321" s="594"/>
      <c r="M2321" s="600"/>
      <c r="N2321" s="600">
        <v>0</v>
      </c>
      <c r="O2321" s="287">
        <f t="shared" si="664"/>
        <v>0</v>
      </c>
      <c r="P2321" s="287">
        <f t="shared" si="665"/>
        <v>0</v>
      </c>
      <c r="Q2321" s="288"/>
      <c r="R2321" s="311" t="str">
        <f>IF(P2320&gt;0,"xy","")</f>
        <v/>
      </c>
      <c r="S2321" s="378" t="str">
        <f t="shared" si="673"/>
        <v/>
      </c>
    </row>
    <row r="2322" spans="2:19" hidden="1" x14ac:dyDescent="0.2">
      <c r="B2322" s="771" t="s">
        <v>168</v>
      </c>
      <c r="C2322" s="596"/>
      <c r="D2322" s="383" t="s">
        <v>249</v>
      </c>
      <c r="E2322" s="704"/>
      <c r="F2322" s="661">
        <v>180</v>
      </c>
      <c r="G2322" s="665">
        <f>VLOOKUP(D2320,'ENSAIOS DE ORÇAMENTO'!$C$3:$L$79,5,FALSE)</f>
        <v>0.41372736000000004</v>
      </c>
      <c r="H2322" s="663">
        <f t="shared" ref="H2322" si="682">IF(F2322&lt;=30,(1.05*F2322+2.18)*G2322,((1.05*30+2.18)+0.87*(F2322-30))*G2322)</f>
        <v>67.925757964800013</v>
      </c>
      <c r="I2322" s="380"/>
      <c r="J2322" s="631"/>
      <c r="K2322" s="593">
        <f t="shared" si="676"/>
        <v>0</v>
      </c>
      <c r="L2322" s="594"/>
      <c r="M2322" s="600"/>
      <c r="N2322" s="600">
        <v>0</v>
      </c>
      <c r="O2322" s="287">
        <f t="shared" si="664"/>
        <v>0</v>
      </c>
      <c r="P2322" s="287">
        <f t="shared" si="665"/>
        <v>0</v>
      </c>
      <c r="Q2322" s="288"/>
      <c r="R2322" s="311" t="str">
        <f>IF(P2320&gt;0,"xy","")</f>
        <v/>
      </c>
      <c r="S2322" s="378" t="str">
        <f t="shared" si="673"/>
        <v/>
      </c>
    </row>
    <row r="2323" spans="2:19" hidden="1" x14ac:dyDescent="0.2">
      <c r="B2323" s="771" t="s">
        <v>168</v>
      </c>
      <c r="C2323" s="596"/>
      <c r="D2323" s="383" t="s">
        <v>253</v>
      </c>
      <c r="E2323" s="704"/>
      <c r="F2323" s="661">
        <v>20</v>
      </c>
      <c r="G2323" s="665">
        <f>VLOOKUP(D2320,'ENSAIOS DE ORÇAMENTO'!$C$3:$L$79,6,FALSE)</f>
        <v>0.48857760000000011</v>
      </c>
      <c r="H2323" s="663">
        <f>IF(F2323&lt;=30,(1.05*F2323+2.18)*G2323,((1.05*30+2.18)+0.87*(F2323-30))*G2323)</f>
        <v>11.325228768000002</v>
      </c>
      <c r="I2323" s="380"/>
      <c r="J2323" s="631"/>
      <c r="K2323" s="593">
        <f t="shared" si="676"/>
        <v>0</v>
      </c>
      <c r="L2323" s="594"/>
      <c r="M2323" s="600"/>
      <c r="N2323" s="600">
        <v>0</v>
      </c>
      <c r="O2323" s="287">
        <f t="shared" si="664"/>
        <v>0</v>
      </c>
      <c r="P2323" s="287">
        <f t="shared" si="665"/>
        <v>0</v>
      </c>
      <c r="Q2323" s="288"/>
      <c r="R2323" s="243" t="str">
        <f>IF(P2320&gt;0,"xy","")</f>
        <v/>
      </c>
      <c r="S2323" s="378" t="str">
        <f t="shared" si="673"/>
        <v/>
      </c>
    </row>
    <row r="2324" spans="2:19" hidden="1" x14ac:dyDescent="0.2">
      <c r="B2324" s="771" t="s">
        <v>168</v>
      </c>
      <c r="C2324" s="596"/>
      <c r="D2324" s="383" t="s">
        <v>402</v>
      </c>
      <c r="E2324" s="704"/>
      <c r="F2324" s="661">
        <v>30</v>
      </c>
      <c r="G2324" s="665">
        <f>VLOOKUP(D2320,'ENSAIOS DE ORÇAMENTO'!$C$3:$L$79,3,FALSE)</f>
        <v>0</v>
      </c>
      <c r="H2324" s="663">
        <f>IF(F2324&lt;=30,(1.05*F2324+2.18)*G2324,((1.05*30+2.18)+0.87*(F2324-30))*G2324)</f>
        <v>0</v>
      </c>
      <c r="I2324" s="380"/>
      <c r="J2324" s="631"/>
      <c r="K2324" s="593">
        <f t="shared" si="676"/>
        <v>0</v>
      </c>
      <c r="L2324" s="594"/>
      <c r="M2324" s="600"/>
      <c r="N2324" s="600">
        <v>0</v>
      </c>
      <c r="O2324" s="287">
        <f t="shared" si="664"/>
        <v>0</v>
      </c>
      <c r="P2324" s="287">
        <f t="shared" si="665"/>
        <v>0</v>
      </c>
      <c r="Q2324" s="288"/>
      <c r="R2324" s="311" t="str">
        <f>IF(P2320&gt;0,"xy","")</f>
        <v/>
      </c>
      <c r="S2324" s="378" t="str">
        <f t="shared" si="673"/>
        <v/>
      </c>
    </row>
    <row r="2325" spans="2:19" hidden="1" x14ac:dyDescent="0.2">
      <c r="B2325" s="771" t="s">
        <v>168</v>
      </c>
      <c r="C2325" s="596"/>
      <c r="D2325" s="383" t="s">
        <v>403</v>
      </c>
      <c r="E2325" s="704"/>
      <c r="F2325" s="661">
        <v>500</v>
      </c>
      <c r="G2325" s="665">
        <f>VLOOKUP(D2320,'ENSAIOS DE ORÇAMENTO'!$C$3:$L$79,10,FALSE)</f>
        <v>0</v>
      </c>
      <c r="H2325" s="663">
        <f>IF(F2325&lt;=30,(1.05*F2325+2.18)*G2325,((1.05*30+2.18)+0.87*(F2325-30))*G2325)</f>
        <v>0</v>
      </c>
      <c r="I2325" s="380"/>
      <c r="J2325" s="631"/>
      <c r="K2325" s="593">
        <f t="shared" si="676"/>
        <v>0</v>
      </c>
      <c r="L2325" s="594"/>
      <c r="M2325" s="600"/>
      <c r="N2325" s="600">
        <v>0</v>
      </c>
      <c r="O2325" s="287">
        <f t="shared" si="664"/>
        <v>0</v>
      </c>
      <c r="P2325" s="287">
        <f t="shared" si="665"/>
        <v>0</v>
      </c>
      <c r="Q2325" s="288"/>
      <c r="R2325" s="311" t="str">
        <f>IF(P2320&gt;0,"xy","")</f>
        <v/>
      </c>
      <c r="S2325" s="378" t="str">
        <f t="shared" si="673"/>
        <v/>
      </c>
    </row>
    <row r="2326" spans="2:19" hidden="1" x14ac:dyDescent="0.2">
      <c r="B2326" s="771" t="s">
        <v>40</v>
      </c>
      <c r="C2326" s="596" t="s">
        <v>207</v>
      </c>
      <c r="D2326" s="383" t="s">
        <v>418</v>
      </c>
      <c r="E2326" s="704"/>
      <c r="F2326" s="661"/>
      <c r="G2326" s="665"/>
      <c r="H2326" s="664">
        <f>SUM(H2327:H2331)</f>
        <v>187.04318364336001</v>
      </c>
      <c r="I2326" s="380">
        <f>VLOOKUP(D2326,'ENSAIOS DE ORÇAMENTO'!$C$3:$L$79,8,FALSE)</f>
        <v>1553.0878211333334</v>
      </c>
      <c r="J2326" s="631">
        <f t="shared" ref="J2326" si="683">IF(ISBLANK(I2326),"",SUM(H2326:I2326))</f>
        <v>1740.1310047766933</v>
      </c>
      <c r="K2326" s="593">
        <f t="shared" si="676"/>
        <v>2205.62</v>
      </c>
      <c r="L2326" s="594" t="s">
        <v>21</v>
      </c>
      <c r="M2326" s="30"/>
      <c r="N2326" s="30">
        <v>2205.62</v>
      </c>
      <c r="O2326" s="287">
        <f t="shared" si="664"/>
        <v>0</v>
      </c>
      <c r="P2326" s="287">
        <f t="shared" si="665"/>
        <v>0</v>
      </c>
      <c r="Q2326" s="288"/>
      <c r="S2326" s="378" t="str">
        <f t="shared" si="673"/>
        <v/>
      </c>
    </row>
    <row r="2327" spans="2:19" hidden="1" x14ac:dyDescent="0.2">
      <c r="B2327" s="771" t="s">
        <v>168</v>
      </c>
      <c r="C2327" s="596"/>
      <c r="D2327" s="383" t="s">
        <v>213</v>
      </c>
      <c r="E2327" s="704"/>
      <c r="F2327" s="661">
        <v>500</v>
      </c>
      <c r="G2327" s="665">
        <f>VLOOKUP(D2326,'ENSAIOS DE ORÇAMENTO'!$C$3:$L$79,4,FALSE)</f>
        <v>0.21117996</v>
      </c>
      <c r="H2327" s="664">
        <f>IF(F2327&lt;=30,(0.75*F2327+6.29)*G2327,((0.75*30+6.29)+0.62*(F2327-30))*G2327)</f>
        <v>67.617711392399997</v>
      </c>
      <c r="I2327" s="380"/>
      <c r="J2327" s="631"/>
      <c r="K2327" s="593">
        <f t="shared" si="676"/>
        <v>0</v>
      </c>
      <c r="L2327" s="594"/>
      <c r="M2327" s="600"/>
      <c r="N2327" s="600">
        <v>0</v>
      </c>
      <c r="O2327" s="287">
        <f t="shared" si="664"/>
        <v>0</v>
      </c>
      <c r="P2327" s="287">
        <f t="shared" si="665"/>
        <v>0</v>
      </c>
      <c r="Q2327" s="288"/>
      <c r="R2327" s="311" t="str">
        <f>IF(P2326&gt;0,"xy","")</f>
        <v/>
      </c>
      <c r="S2327" s="378" t="str">
        <f t="shared" si="673"/>
        <v/>
      </c>
    </row>
    <row r="2328" spans="2:19" hidden="1" x14ac:dyDescent="0.2">
      <c r="B2328" s="771" t="s">
        <v>168</v>
      </c>
      <c r="C2328" s="596"/>
      <c r="D2328" s="383" t="s">
        <v>249</v>
      </c>
      <c r="E2328" s="704"/>
      <c r="F2328" s="661">
        <v>180</v>
      </c>
      <c r="G2328" s="665">
        <f>VLOOKUP(D2326,'ENSAIOS DE ORÇAMENTO'!$C$3:$L$79,5,FALSE)</f>
        <v>0.62284225199999999</v>
      </c>
      <c r="H2328" s="663">
        <f t="shared" ref="H2328" si="684">IF(F2328&lt;=30,(1.05*F2328+2.18)*G2328,((1.05*30+2.18)+0.87*(F2328-30))*G2328)</f>
        <v>102.25824093336</v>
      </c>
      <c r="I2328" s="380"/>
      <c r="J2328" s="631"/>
      <c r="K2328" s="593">
        <f t="shared" si="676"/>
        <v>0</v>
      </c>
      <c r="L2328" s="594"/>
      <c r="M2328" s="600"/>
      <c r="N2328" s="600">
        <v>0</v>
      </c>
      <c r="O2328" s="287">
        <f t="shared" si="664"/>
        <v>0</v>
      </c>
      <c r="P2328" s="287">
        <f t="shared" si="665"/>
        <v>0</v>
      </c>
      <c r="Q2328" s="288"/>
      <c r="R2328" s="311" t="str">
        <f>IF(P2326&gt;0,"xy","")</f>
        <v/>
      </c>
      <c r="S2328" s="378" t="str">
        <f t="shared" si="673"/>
        <v/>
      </c>
    </row>
    <row r="2329" spans="2:19" hidden="1" x14ac:dyDescent="0.2">
      <c r="B2329" s="771" t="s">
        <v>168</v>
      </c>
      <c r="C2329" s="596"/>
      <c r="D2329" s="383" t="s">
        <v>253</v>
      </c>
      <c r="E2329" s="704"/>
      <c r="F2329" s="661">
        <v>20</v>
      </c>
      <c r="G2329" s="665">
        <f>VLOOKUP(D2326,'ENSAIOS DE ORÇAMENTO'!$C$3:$L$79,6,FALSE)</f>
        <v>0.74060532000000001</v>
      </c>
      <c r="H2329" s="663">
        <f>IF(F2329&lt;=30,(1.05*F2329+2.18)*G2329,((1.05*30+2.18)+0.87*(F2329-30))*G2329)</f>
        <v>17.167231317599999</v>
      </c>
      <c r="I2329" s="380"/>
      <c r="J2329" s="631"/>
      <c r="K2329" s="593">
        <f t="shared" si="676"/>
        <v>0</v>
      </c>
      <c r="L2329" s="594"/>
      <c r="M2329" s="600"/>
      <c r="N2329" s="600">
        <v>0</v>
      </c>
      <c r="O2329" s="287">
        <f t="shared" si="664"/>
        <v>0</v>
      </c>
      <c r="P2329" s="287">
        <f t="shared" si="665"/>
        <v>0</v>
      </c>
      <c r="Q2329" s="288"/>
      <c r="R2329" s="243" t="str">
        <f>IF(P2326&gt;0,"xy","")</f>
        <v/>
      </c>
      <c r="S2329" s="378" t="str">
        <f t="shared" si="673"/>
        <v/>
      </c>
    </row>
    <row r="2330" spans="2:19" hidden="1" x14ac:dyDescent="0.2">
      <c r="B2330" s="771" t="s">
        <v>168</v>
      </c>
      <c r="C2330" s="596"/>
      <c r="D2330" s="383" t="s">
        <v>402</v>
      </c>
      <c r="E2330" s="704"/>
      <c r="F2330" s="661">
        <v>30</v>
      </c>
      <c r="G2330" s="665">
        <f>VLOOKUP(D2326,'ENSAIOS DE ORÇAMENTO'!$C$3:$L$79,3,FALSE)</f>
        <v>0</v>
      </c>
      <c r="H2330" s="663">
        <f>IF(F2330&lt;=30,(1.05*F2330+2.18)*G2330,((1.05*30+2.18)+0.87*(F2330-30))*G2330)</f>
        <v>0</v>
      </c>
      <c r="I2330" s="380"/>
      <c r="J2330" s="631"/>
      <c r="K2330" s="593">
        <f t="shared" si="676"/>
        <v>0</v>
      </c>
      <c r="L2330" s="594"/>
      <c r="M2330" s="600"/>
      <c r="N2330" s="600">
        <v>0</v>
      </c>
      <c r="O2330" s="287">
        <f t="shared" si="664"/>
        <v>0</v>
      </c>
      <c r="P2330" s="287">
        <f t="shared" si="665"/>
        <v>0</v>
      </c>
      <c r="Q2330" s="288"/>
      <c r="R2330" s="311" t="str">
        <f>IF(P2326&gt;0,"xy","")</f>
        <v/>
      </c>
      <c r="S2330" s="378" t="str">
        <f t="shared" si="673"/>
        <v/>
      </c>
    </row>
    <row r="2331" spans="2:19" hidden="1" x14ac:dyDescent="0.2">
      <c r="B2331" s="771" t="s">
        <v>168</v>
      </c>
      <c r="C2331" s="596"/>
      <c r="D2331" s="383" t="s">
        <v>403</v>
      </c>
      <c r="E2331" s="704"/>
      <c r="F2331" s="661">
        <v>500</v>
      </c>
      <c r="G2331" s="665">
        <f>VLOOKUP(D2326,'ENSAIOS DE ORÇAMENTO'!$C$3:$L$79,10,FALSE)</f>
        <v>0</v>
      </c>
      <c r="H2331" s="663">
        <f>IF(F2331&lt;=30,(1.05*F2331+2.18)*G2331,((1.05*30+2.18)+0.87*(F2331-30))*G2331)</f>
        <v>0</v>
      </c>
      <c r="I2331" s="380"/>
      <c r="J2331" s="631"/>
      <c r="K2331" s="593">
        <f t="shared" si="676"/>
        <v>0</v>
      </c>
      <c r="L2331" s="594"/>
      <c r="M2331" s="600"/>
      <c r="N2331" s="600">
        <v>0</v>
      </c>
      <c r="O2331" s="287">
        <f t="shared" si="664"/>
        <v>0</v>
      </c>
      <c r="P2331" s="287">
        <f t="shared" si="665"/>
        <v>0</v>
      </c>
      <c r="Q2331" s="288"/>
      <c r="R2331" s="311" t="str">
        <f>IF(P2326&gt;0,"xy","")</f>
        <v/>
      </c>
      <c r="S2331" s="378" t="str">
        <f t="shared" si="673"/>
        <v/>
      </c>
    </row>
    <row r="2332" spans="2:19" hidden="1" x14ac:dyDescent="0.2">
      <c r="B2332" s="771" t="s">
        <v>41</v>
      </c>
      <c r="C2332" s="596" t="s">
        <v>207</v>
      </c>
      <c r="D2332" s="383" t="s">
        <v>419</v>
      </c>
      <c r="E2332" s="704"/>
      <c r="F2332" s="661"/>
      <c r="G2332" s="665"/>
      <c r="H2332" s="664">
        <f>SUM(H2333:H2337)</f>
        <v>336.48865161819998</v>
      </c>
      <c r="I2332" s="380">
        <f>VLOOKUP(D2332,'ENSAIOS DE ORÇAMENTO'!$C$3:$L$79,8,FALSE)</f>
        <v>2656.7578716666667</v>
      </c>
      <c r="J2332" s="631">
        <f t="shared" ref="J2332" si="685">IF(ISBLANK(I2332),"",SUM(H2332:I2332))</f>
        <v>2993.2465232848667</v>
      </c>
      <c r="K2332" s="593">
        <f t="shared" si="676"/>
        <v>3793.94</v>
      </c>
      <c r="L2332" s="594" t="s">
        <v>21</v>
      </c>
      <c r="M2332" s="30"/>
      <c r="N2332" s="30">
        <v>3793.94</v>
      </c>
      <c r="O2332" s="287">
        <f t="shared" si="664"/>
        <v>0</v>
      </c>
      <c r="P2332" s="287">
        <f t="shared" si="665"/>
        <v>0</v>
      </c>
      <c r="Q2332" s="288"/>
      <c r="S2332" s="378" t="str">
        <f t="shared" si="673"/>
        <v/>
      </c>
    </row>
    <row r="2333" spans="2:19" hidden="1" x14ac:dyDescent="0.2">
      <c r="B2333" s="771" t="s">
        <v>168</v>
      </c>
      <c r="C2333" s="596"/>
      <c r="D2333" s="383" t="s">
        <v>213</v>
      </c>
      <c r="E2333" s="704"/>
      <c r="F2333" s="661">
        <v>500</v>
      </c>
      <c r="G2333" s="665">
        <f>VLOOKUP(D2332,'ENSAIOS DE ORÇAMENTO'!$C$3:$L$79,4,FALSE)</f>
        <v>0.38327894999999995</v>
      </c>
      <c r="H2333" s="664">
        <f>IF(F2333&lt;=30,(0.75*F2333+6.29)*G2333,((0.75*30+6.29)+0.62*(F2333-30))*G2333)</f>
        <v>122.72208700049998</v>
      </c>
      <c r="I2333" s="380"/>
      <c r="J2333" s="631"/>
      <c r="K2333" s="593">
        <f t="shared" si="676"/>
        <v>0</v>
      </c>
      <c r="L2333" s="594"/>
      <c r="M2333" s="600"/>
      <c r="N2333" s="600">
        <v>0</v>
      </c>
      <c r="O2333" s="287">
        <f t="shared" si="664"/>
        <v>0</v>
      </c>
      <c r="P2333" s="287">
        <f t="shared" si="665"/>
        <v>0</v>
      </c>
      <c r="Q2333" s="288"/>
      <c r="R2333" s="311" t="str">
        <f>IF(P2332&gt;0,"xy","")</f>
        <v/>
      </c>
      <c r="S2333" s="378" t="str">
        <f t="shared" si="673"/>
        <v/>
      </c>
    </row>
    <row r="2334" spans="2:19" hidden="1" x14ac:dyDescent="0.2">
      <c r="B2334" s="771" t="s">
        <v>168</v>
      </c>
      <c r="C2334" s="596"/>
      <c r="D2334" s="383" t="s">
        <v>249</v>
      </c>
      <c r="E2334" s="704"/>
      <c r="F2334" s="661">
        <v>180</v>
      </c>
      <c r="G2334" s="665">
        <f>VLOOKUP(D2332,'ENSAIOS DE ORÇAMENTO'!$C$3:$L$79,5,FALSE)</f>
        <v>1.1143076149999998</v>
      </c>
      <c r="H2334" s="663">
        <f t="shared" ref="H2334" si="686">IF(F2334&lt;=30,(1.05*F2334+2.18)*G2334,((1.05*30+2.18)+0.87*(F2334-30))*G2334)</f>
        <v>182.94702423069998</v>
      </c>
      <c r="I2334" s="380"/>
      <c r="J2334" s="631"/>
      <c r="K2334" s="593">
        <f t="shared" si="676"/>
        <v>0</v>
      </c>
      <c r="L2334" s="594"/>
      <c r="M2334" s="600"/>
      <c r="N2334" s="600">
        <v>0</v>
      </c>
      <c r="O2334" s="287">
        <f t="shared" si="664"/>
        <v>0</v>
      </c>
      <c r="P2334" s="287">
        <f t="shared" si="665"/>
        <v>0</v>
      </c>
      <c r="Q2334" s="288"/>
      <c r="R2334" s="311" t="str">
        <f>IF(P2332&gt;0,"xy","")</f>
        <v/>
      </c>
      <c r="S2334" s="378" t="str">
        <f t="shared" si="673"/>
        <v/>
      </c>
    </row>
    <row r="2335" spans="2:19" hidden="1" x14ac:dyDescent="0.2">
      <c r="B2335" s="771" t="s">
        <v>168</v>
      </c>
      <c r="C2335" s="596"/>
      <c r="D2335" s="383" t="s">
        <v>253</v>
      </c>
      <c r="E2335" s="704"/>
      <c r="F2335" s="661">
        <v>20</v>
      </c>
      <c r="G2335" s="665">
        <f>VLOOKUP(D2332,'ENSAIOS DE ORÇAMENTO'!$C$3:$L$79,6,FALSE)</f>
        <v>1.3295746499999999</v>
      </c>
      <c r="H2335" s="663">
        <f>IF(F2335&lt;=30,(1.05*F2335+2.18)*G2335,((1.05*30+2.18)+0.87*(F2335-30))*G2335)</f>
        <v>30.819540386999996</v>
      </c>
      <c r="I2335" s="380"/>
      <c r="J2335" s="631"/>
      <c r="K2335" s="593">
        <f t="shared" si="676"/>
        <v>0</v>
      </c>
      <c r="L2335" s="594"/>
      <c r="M2335" s="600"/>
      <c r="N2335" s="600">
        <v>0</v>
      </c>
      <c r="O2335" s="287">
        <f t="shared" si="664"/>
        <v>0</v>
      </c>
      <c r="P2335" s="287">
        <f t="shared" si="665"/>
        <v>0</v>
      </c>
      <c r="Q2335" s="288"/>
      <c r="R2335" s="243" t="str">
        <f>IF(P2332&gt;0,"xy","")</f>
        <v/>
      </c>
      <c r="S2335" s="378" t="str">
        <f t="shared" si="673"/>
        <v/>
      </c>
    </row>
    <row r="2336" spans="2:19" hidden="1" x14ac:dyDescent="0.2">
      <c r="B2336" s="771" t="s">
        <v>168</v>
      </c>
      <c r="C2336" s="596"/>
      <c r="D2336" s="383" t="s">
        <v>402</v>
      </c>
      <c r="E2336" s="704"/>
      <c r="F2336" s="661">
        <v>30</v>
      </c>
      <c r="G2336" s="665">
        <f>VLOOKUP(D2332,'ENSAIOS DE ORÇAMENTO'!$C$3:$L$79,3,FALSE)</f>
        <v>0</v>
      </c>
      <c r="H2336" s="663">
        <f>IF(F2336&lt;=30,(1.05*F2336+2.18)*G2336,((1.05*30+2.18)+0.87*(F2336-30))*G2336)</f>
        <v>0</v>
      </c>
      <c r="I2336" s="380"/>
      <c r="J2336" s="631"/>
      <c r="K2336" s="593">
        <f t="shared" si="676"/>
        <v>0</v>
      </c>
      <c r="L2336" s="594"/>
      <c r="M2336" s="600"/>
      <c r="N2336" s="600">
        <v>0</v>
      </c>
      <c r="O2336" s="287">
        <f t="shared" si="664"/>
        <v>0</v>
      </c>
      <c r="P2336" s="287">
        <f t="shared" si="665"/>
        <v>0</v>
      </c>
      <c r="Q2336" s="288"/>
      <c r="R2336" s="311" t="str">
        <f>IF(P2332&gt;0,"xy","")</f>
        <v/>
      </c>
      <c r="S2336" s="378" t="str">
        <f t="shared" si="673"/>
        <v/>
      </c>
    </row>
    <row r="2337" spans="2:19" hidden="1" x14ac:dyDescent="0.2">
      <c r="B2337" s="771" t="s">
        <v>168</v>
      </c>
      <c r="C2337" s="596"/>
      <c r="D2337" s="383" t="s">
        <v>403</v>
      </c>
      <c r="E2337" s="704"/>
      <c r="F2337" s="661">
        <v>500</v>
      </c>
      <c r="G2337" s="665">
        <f>VLOOKUP(D2332,'ENSAIOS DE ORÇAMENTO'!$C$3:$L$79,10,FALSE)</f>
        <v>0</v>
      </c>
      <c r="H2337" s="663">
        <f>IF(F2337&lt;=30,(1.05*F2337+2.18)*G2337,((1.05*30+2.18)+0.87*(F2337-30))*G2337)</f>
        <v>0</v>
      </c>
      <c r="I2337" s="380"/>
      <c r="J2337" s="631"/>
      <c r="K2337" s="593">
        <f t="shared" si="676"/>
        <v>0</v>
      </c>
      <c r="L2337" s="594"/>
      <c r="M2337" s="600"/>
      <c r="N2337" s="600">
        <v>0</v>
      </c>
      <c r="O2337" s="287">
        <f t="shared" si="664"/>
        <v>0</v>
      </c>
      <c r="P2337" s="287">
        <f t="shared" si="665"/>
        <v>0</v>
      </c>
      <c r="Q2337" s="288"/>
      <c r="R2337" s="311" t="str">
        <f>IF(P2332&gt;0,"xy","")</f>
        <v/>
      </c>
      <c r="S2337" s="378" t="str">
        <f t="shared" si="673"/>
        <v/>
      </c>
    </row>
    <row r="2338" spans="2:19" hidden="1" x14ac:dyDescent="0.2">
      <c r="B2338" s="771" t="s">
        <v>42</v>
      </c>
      <c r="C2338" s="596" t="s">
        <v>207</v>
      </c>
      <c r="D2338" s="383" t="s">
        <v>420</v>
      </c>
      <c r="E2338" s="704"/>
      <c r="F2338" s="661"/>
      <c r="G2338" s="665"/>
      <c r="H2338" s="664">
        <f>SUM(H2339:H2343)</f>
        <v>494.42067249520005</v>
      </c>
      <c r="I2338" s="380">
        <f>VLOOKUP(D2338,'ENSAIOS DE ORÇAMENTO'!$C$3:$L$79,8,FALSE)</f>
        <v>3840.6611733333334</v>
      </c>
      <c r="J2338" s="631">
        <f t="shared" ref="J2338" si="687">IF(ISBLANK(I2338),"",SUM(H2338:I2338))</f>
        <v>4335.0818458285339</v>
      </c>
      <c r="K2338" s="593">
        <f t="shared" si="676"/>
        <v>5494.72</v>
      </c>
      <c r="L2338" s="594" t="s">
        <v>21</v>
      </c>
      <c r="M2338" s="30"/>
      <c r="N2338" s="30">
        <v>5494.72</v>
      </c>
      <c r="O2338" s="287">
        <f t="shared" si="664"/>
        <v>0</v>
      </c>
      <c r="P2338" s="287">
        <f t="shared" si="665"/>
        <v>0</v>
      </c>
      <c r="Q2338" s="288"/>
      <c r="S2338" s="378" t="str">
        <f t="shared" si="673"/>
        <v/>
      </c>
    </row>
    <row r="2339" spans="2:19" hidden="1" x14ac:dyDescent="0.2">
      <c r="B2339" s="771" t="s">
        <v>168</v>
      </c>
      <c r="C2339" s="596"/>
      <c r="D2339" s="383" t="s">
        <v>213</v>
      </c>
      <c r="E2339" s="704"/>
      <c r="F2339" s="661">
        <v>500</v>
      </c>
      <c r="G2339" s="665">
        <f>VLOOKUP(D2338,'ENSAIOS DE ORÇAMENTO'!$C$3:$L$79,4,FALSE)</f>
        <v>0.56408220000000009</v>
      </c>
      <c r="H2339" s="664">
        <f>IF(F2339&lt;=30,(0.75*F2339+6.29)*G2339,((0.75*30+6.29)+0.62*(F2339-30))*G2339)</f>
        <v>180.61347961800001</v>
      </c>
      <c r="I2339" s="380"/>
      <c r="J2339" s="631"/>
      <c r="K2339" s="593">
        <f t="shared" si="676"/>
        <v>0</v>
      </c>
      <c r="L2339" s="594"/>
      <c r="M2339" s="600"/>
      <c r="N2339" s="600">
        <v>0</v>
      </c>
      <c r="O2339" s="287">
        <f t="shared" si="664"/>
        <v>0</v>
      </c>
      <c r="P2339" s="287">
        <f t="shared" si="665"/>
        <v>0</v>
      </c>
      <c r="Q2339" s="288"/>
      <c r="R2339" s="311" t="str">
        <f>IF(P2338&gt;0,"xy","")</f>
        <v/>
      </c>
      <c r="S2339" s="378" t="str">
        <f t="shared" si="673"/>
        <v/>
      </c>
    </row>
    <row r="2340" spans="2:19" hidden="1" x14ac:dyDescent="0.2">
      <c r="B2340" s="771" t="s">
        <v>168</v>
      </c>
      <c r="C2340" s="596"/>
      <c r="D2340" s="383" t="s">
        <v>249</v>
      </c>
      <c r="E2340" s="704"/>
      <c r="F2340" s="661">
        <v>180</v>
      </c>
      <c r="G2340" s="665">
        <f>VLOOKUP(D2338,'ENSAIOS DE ORÇAMENTO'!$C$3:$L$79,5,FALSE)</f>
        <v>1.6356421400000001</v>
      </c>
      <c r="H2340" s="663">
        <f t="shared" ref="H2340" si="688">IF(F2340&lt;=30,(1.05*F2340+2.18)*G2340,((1.05*30+2.18)+0.87*(F2340-30))*G2340)</f>
        <v>268.53972654520004</v>
      </c>
      <c r="I2340" s="380"/>
      <c r="J2340" s="631"/>
      <c r="K2340" s="593">
        <f t="shared" si="676"/>
        <v>0</v>
      </c>
      <c r="L2340" s="594"/>
      <c r="M2340" s="600"/>
      <c r="N2340" s="600">
        <v>0</v>
      </c>
      <c r="O2340" s="287">
        <f t="shared" si="664"/>
        <v>0</v>
      </c>
      <c r="P2340" s="287">
        <f t="shared" si="665"/>
        <v>0</v>
      </c>
      <c r="Q2340" s="288"/>
      <c r="R2340" s="311" t="str">
        <f>IF(P2338&gt;0,"xy","")</f>
        <v/>
      </c>
      <c r="S2340" s="378" t="str">
        <f t="shared" si="673"/>
        <v/>
      </c>
    </row>
    <row r="2341" spans="2:19" hidden="1" x14ac:dyDescent="0.2">
      <c r="B2341" s="771" t="s">
        <v>168</v>
      </c>
      <c r="C2341" s="596"/>
      <c r="D2341" s="383" t="s">
        <v>253</v>
      </c>
      <c r="E2341" s="704"/>
      <c r="F2341" s="661">
        <v>20</v>
      </c>
      <c r="G2341" s="665">
        <f>VLOOKUP(D2338,'ENSAIOS DE ORÇAMENTO'!$C$3:$L$79,6,FALSE)</f>
        <v>1.9528674000000004</v>
      </c>
      <c r="H2341" s="663">
        <f>IF(F2341&lt;=30,(1.05*F2341+2.18)*G2341,((1.05*30+2.18)+0.87*(F2341-30))*G2341)</f>
        <v>45.267466332000005</v>
      </c>
      <c r="I2341" s="380"/>
      <c r="J2341" s="631"/>
      <c r="K2341" s="593">
        <f t="shared" si="676"/>
        <v>0</v>
      </c>
      <c r="L2341" s="594"/>
      <c r="M2341" s="600"/>
      <c r="N2341" s="600">
        <v>0</v>
      </c>
      <c r="O2341" s="287">
        <f t="shared" si="664"/>
        <v>0</v>
      </c>
      <c r="P2341" s="287">
        <f t="shared" si="665"/>
        <v>0</v>
      </c>
      <c r="Q2341" s="288"/>
      <c r="R2341" s="243" t="str">
        <f>IF(P2338&gt;0,"xy","")</f>
        <v/>
      </c>
      <c r="S2341" s="378" t="str">
        <f t="shared" si="673"/>
        <v/>
      </c>
    </row>
    <row r="2342" spans="2:19" hidden="1" x14ac:dyDescent="0.2">
      <c r="B2342" s="771" t="s">
        <v>168</v>
      </c>
      <c r="C2342" s="596"/>
      <c r="D2342" s="383" t="s">
        <v>402</v>
      </c>
      <c r="E2342" s="704"/>
      <c r="F2342" s="661">
        <v>30</v>
      </c>
      <c r="G2342" s="665">
        <f>VLOOKUP(D2338,'ENSAIOS DE ORÇAMENTO'!$C$3:$L$79,3,FALSE)</f>
        <v>0</v>
      </c>
      <c r="H2342" s="663">
        <f>IF(F2342&lt;=30,(1.05*F2342+2.18)*G2342,((1.05*30+2.18)+0.87*(F2342-30))*G2342)</f>
        <v>0</v>
      </c>
      <c r="I2342" s="380"/>
      <c r="J2342" s="631"/>
      <c r="K2342" s="593">
        <f t="shared" si="676"/>
        <v>0</v>
      </c>
      <c r="L2342" s="594"/>
      <c r="M2342" s="600"/>
      <c r="N2342" s="600">
        <v>0</v>
      </c>
      <c r="O2342" s="287">
        <f t="shared" si="664"/>
        <v>0</v>
      </c>
      <c r="P2342" s="287">
        <f t="shared" si="665"/>
        <v>0</v>
      </c>
      <c r="Q2342" s="288"/>
      <c r="R2342" s="311" t="str">
        <f>IF(P2338&gt;0,"xy","")</f>
        <v/>
      </c>
      <c r="S2342" s="378" t="str">
        <f t="shared" si="673"/>
        <v/>
      </c>
    </row>
    <row r="2343" spans="2:19" hidden="1" x14ac:dyDescent="0.2">
      <c r="B2343" s="771" t="s">
        <v>168</v>
      </c>
      <c r="C2343" s="596"/>
      <c r="D2343" s="383" t="s">
        <v>403</v>
      </c>
      <c r="E2343" s="704"/>
      <c r="F2343" s="661">
        <v>500</v>
      </c>
      <c r="G2343" s="665">
        <f>VLOOKUP(D2338,'ENSAIOS DE ORÇAMENTO'!$C$3:$L$79,10,FALSE)</f>
        <v>0</v>
      </c>
      <c r="H2343" s="663">
        <f>IF(F2343&lt;=30,(1.05*F2343+2.18)*G2343,((1.05*30+2.18)+0.87*(F2343-30))*G2343)</f>
        <v>0</v>
      </c>
      <c r="I2343" s="380"/>
      <c r="J2343" s="631"/>
      <c r="K2343" s="593">
        <f t="shared" si="676"/>
        <v>0</v>
      </c>
      <c r="L2343" s="594"/>
      <c r="M2343" s="600"/>
      <c r="N2343" s="600">
        <v>0</v>
      </c>
      <c r="O2343" s="287">
        <f t="shared" ref="O2343:O2406" si="689">IF(ISBLANK(M2343),0,ROUND(K2343*M2343,2))</f>
        <v>0</v>
      </c>
      <c r="P2343" s="287">
        <f t="shared" ref="P2343:P2406" si="690">IF(ISBLANK(N2343),0,ROUND(M2343*N2343,2))</f>
        <v>0</v>
      </c>
      <c r="Q2343" s="288"/>
      <c r="R2343" s="311" t="str">
        <f>IF(P2338&gt;0,"xy","")</f>
        <v/>
      </c>
      <c r="S2343" s="378" t="str">
        <f t="shared" si="673"/>
        <v/>
      </c>
    </row>
    <row r="2344" spans="2:19" hidden="1" x14ac:dyDescent="0.2">
      <c r="B2344" s="771" t="s">
        <v>43</v>
      </c>
      <c r="C2344" s="596" t="s">
        <v>207</v>
      </c>
      <c r="D2344" s="383" t="s">
        <v>421</v>
      </c>
      <c r="E2344" s="704"/>
      <c r="F2344" s="661"/>
      <c r="G2344" s="665"/>
      <c r="H2344" s="664">
        <f>SUM(H2345:H2349)</f>
        <v>683.88857726719993</v>
      </c>
      <c r="I2344" s="380">
        <f>VLOOKUP(D2344,'ENSAIOS DE ORÇAMENTO'!$C$3:$L$79,8,FALSE)</f>
        <v>5294.8275199999998</v>
      </c>
      <c r="J2344" s="631">
        <f t="shared" ref="J2344" si="691">IF(ISBLANK(I2344),"",SUM(H2344:I2344))</f>
        <v>5978.7160972672</v>
      </c>
      <c r="K2344" s="593">
        <f t="shared" si="676"/>
        <v>7578.02</v>
      </c>
      <c r="L2344" s="594" t="s">
        <v>21</v>
      </c>
      <c r="M2344" s="30"/>
      <c r="N2344" s="30">
        <v>7578.02</v>
      </c>
      <c r="O2344" s="287">
        <f t="shared" si="689"/>
        <v>0</v>
      </c>
      <c r="P2344" s="287">
        <f t="shared" si="690"/>
        <v>0</v>
      </c>
      <c r="Q2344" s="288"/>
      <c r="S2344" s="378" t="str">
        <f t="shared" si="673"/>
        <v/>
      </c>
    </row>
    <row r="2345" spans="2:19" hidden="1" x14ac:dyDescent="0.2">
      <c r="B2345" s="771" t="s">
        <v>168</v>
      </c>
      <c r="C2345" s="596"/>
      <c r="D2345" s="383" t="s">
        <v>213</v>
      </c>
      <c r="E2345" s="704"/>
      <c r="F2345" s="661">
        <v>500</v>
      </c>
      <c r="G2345" s="665">
        <f>VLOOKUP(D2344,'ENSAIOS DE ORÇAMENTO'!$C$3:$L$79,4,FALSE)</f>
        <v>0.77929919999999997</v>
      </c>
      <c r="H2345" s="664">
        <f>IF(F2345&lt;=30,(0.75*F2345+6.29)*G2345,((0.75*30+6.29)+0.62*(F2345-30))*G2345)</f>
        <v>249.52381084799998</v>
      </c>
      <c r="I2345" s="380"/>
      <c r="J2345" s="631"/>
      <c r="K2345" s="593">
        <f t="shared" si="676"/>
        <v>0</v>
      </c>
      <c r="L2345" s="594"/>
      <c r="M2345" s="600"/>
      <c r="N2345" s="600">
        <v>0</v>
      </c>
      <c r="O2345" s="287">
        <f t="shared" si="689"/>
        <v>0</v>
      </c>
      <c r="P2345" s="287">
        <f t="shared" si="690"/>
        <v>0</v>
      </c>
      <c r="Q2345" s="288"/>
      <c r="R2345" s="311" t="str">
        <f>IF(P2344&gt;0,"xy","")</f>
        <v/>
      </c>
      <c r="S2345" s="378" t="str">
        <f t="shared" si="673"/>
        <v/>
      </c>
    </row>
    <row r="2346" spans="2:19" hidden="1" x14ac:dyDescent="0.2">
      <c r="B2346" s="771" t="s">
        <v>168</v>
      </c>
      <c r="C2346" s="596"/>
      <c r="D2346" s="383" t="s">
        <v>249</v>
      </c>
      <c r="E2346" s="704"/>
      <c r="F2346" s="661">
        <v>180</v>
      </c>
      <c r="G2346" s="665">
        <f>VLOOKUP(D2344,'ENSAIOS DE ORÇAMENTO'!$C$3:$L$79,5,FALSE)</f>
        <v>2.26417504</v>
      </c>
      <c r="H2346" s="663">
        <f t="shared" ref="H2346" si="692">IF(F2346&lt;=30,(1.05*F2346+2.18)*G2346,((1.05*30+2.18)+0.87*(F2346-30))*G2346)</f>
        <v>371.73225806720001</v>
      </c>
      <c r="I2346" s="380"/>
      <c r="J2346" s="631"/>
      <c r="K2346" s="593">
        <f t="shared" si="676"/>
        <v>0</v>
      </c>
      <c r="L2346" s="594"/>
      <c r="M2346" s="600"/>
      <c r="N2346" s="600">
        <v>0</v>
      </c>
      <c r="O2346" s="287">
        <f t="shared" si="689"/>
        <v>0</v>
      </c>
      <c r="P2346" s="287">
        <f t="shared" si="690"/>
        <v>0</v>
      </c>
      <c r="Q2346" s="288"/>
      <c r="R2346" s="311" t="str">
        <f>IF(P2344&gt;0,"xy","")</f>
        <v/>
      </c>
      <c r="S2346" s="378" t="str">
        <f t="shared" si="673"/>
        <v/>
      </c>
    </row>
    <row r="2347" spans="2:19" hidden="1" x14ac:dyDescent="0.2">
      <c r="B2347" s="771" t="s">
        <v>168</v>
      </c>
      <c r="C2347" s="596"/>
      <c r="D2347" s="383" t="s">
        <v>253</v>
      </c>
      <c r="E2347" s="704"/>
      <c r="F2347" s="661">
        <v>20</v>
      </c>
      <c r="G2347" s="665">
        <f>VLOOKUP(D2344,'ENSAIOS DE ORÇAMENTO'!$C$3:$L$79,6,FALSE)</f>
        <v>2.7020064000000001</v>
      </c>
      <c r="H2347" s="663">
        <f>IF(F2347&lt;=30,(1.05*F2347+2.18)*G2347,((1.05*30+2.18)+0.87*(F2347-30))*G2347)</f>
        <v>62.632508352000002</v>
      </c>
      <c r="I2347" s="380"/>
      <c r="J2347" s="631"/>
      <c r="K2347" s="593">
        <f t="shared" si="676"/>
        <v>0</v>
      </c>
      <c r="L2347" s="594"/>
      <c r="M2347" s="600"/>
      <c r="N2347" s="600">
        <v>0</v>
      </c>
      <c r="O2347" s="287">
        <f t="shared" si="689"/>
        <v>0</v>
      </c>
      <c r="P2347" s="287">
        <f t="shared" si="690"/>
        <v>0</v>
      </c>
      <c r="Q2347" s="288"/>
      <c r="R2347" s="243" t="str">
        <f>IF(P2344&gt;0,"xy","")</f>
        <v/>
      </c>
      <c r="S2347" s="378" t="str">
        <f t="shared" si="673"/>
        <v/>
      </c>
    </row>
    <row r="2348" spans="2:19" hidden="1" x14ac:dyDescent="0.2">
      <c r="B2348" s="771" t="s">
        <v>168</v>
      </c>
      <c r="C2348" s="596"/>
      <c r="D2348" s="383" t="s">
        <v>402</v>
      </c>
      <c r="E2348" s="704"/>
      <c r="F2348" s="661">
        <v>30</v>
      </c>
      <c r="G2348" s="665">
        <f>VLOOKUP(D2344,'ENSAIOS DE ORÇAMENTO'!$C$3:$L$79,3,FALSE)</f>
        <v>0</v>
      </c>
      <c r="H2348" s="663">
        <f>IF(F2348&lt;=30,(1.05*F2348+2.18)*G2348,((1.05*30+2.18)+0.87*(F2348-30))*G2348)</f>
        <v>0</v>
      </c>
      <c r="I2348" s="380"/>
      <c r="J2348" s="631"/>
      <c r="K2348" s="593">
        <f t="shared" si="676"/>
        <v>0</v>
      </c>
      <c r="L2348" s="594"/>
      <c r="M2348" s="600"/>
      <c r="N2348" s="600">
        <v>0</v>
      </c>
      <c r="O2348" s="287">
        <f t="shared" si="689"/>
        <v>0</v>
      </c>
      <c r="P2348" s="287">
        <f t="shared" si="690"/>
        <v>0</v>
      </c>
      <c r="Q2348" s="288"/>
      <c r="R2348" s="311" t="str">
        <f>IF(P2344&gt;0,"xy","")</f>
        <v/>
      </c>
      <c r="S2348" s="378" t="str">
        <f t="shared" si="673"/>
        <v/>
      </c>
    </row>
    <row r="2349" spans="2:19" hidden="1" x14ac:dyDescent="0.2">
      <c r="B2349" s="771" t="s">
        <v>168</v>
      </c>
      <c r="C2349" s="596"/>
      <c r="D2349" s="383" t="s">
        <v>403</v>
      </c>
      <c r="E2349" s="704"/>
      <c r="F2349" s="661">
        <v>500</v>
      </c>
      <c r="G2349" s="665">
        <f>VLOOKUP(D2344,'ENSAIOS DE ORÇAMENTO'!$C$3:$L$79,10,FALSE)</f>
        <v>0</v>
      </c>
      <c r="H2349" s="663">
        <f>IF(F2349&lt;=30,(1.05*F2349+2.18)*G2349,((1.05*30+2.18)+0.87*(F2349-30))*G2349)</f>
        <v>0</v>
      </c>
      <c r="I2349" s="380"/>
      <c r="J2349" s="631"/>
      <c r="K2349" s="593">
        <f t="shared" si="676"/>
        <v>0</v>
      </c>
      <c r="L2349" s="594"/>
      <c r="M2349" s="600"/>
      <c r="N2349" s="600">
        <v>0</v>
      </c>
      <c r="O2349" s="287">
        <f t="shared" si="689"/>
        <v>0</v>
      </c>
      <c r="P2349" s="287">
        <f t="shared" si="690"/>
        <v>0</v>
      </c>
      <c r="Q2349" s="288"/>
      <c r="R2349" s="311" t="str">
        <f>IF(P2344&gt;0,"xy","")</f>
        <v/>
      </c>
      <c r="S2349" s="378" t="str">
        <f t="shared" si="673"/>
        <v/>
      </c>
    </row>
    <row r="2350" spans="2:19" hidden="1" x14ac:dyDescent="0.2">
      <c r="B2350" s="771" t="s">
        <v>44</v>
      </c>
      <c r="C2350" s="596" t="s">
        <v>207</v>
      </c>
      <c r="D2350" s="383" t="s">
        <v>422</v>
      </c>
      <c r="E2350" s="704"/>
      <c r="F2350" s="661"/>
      <c r="G2350" s="665"/>
      <c r="H2350" s="664">
        <f>SUM(H2351:H2355)</f>
        <v>1060.6650099221999</v>
      </c>
      <c r="I2350" s="380">
        <f>VLOOKUP(D2350,'ENSAIOS DE ORÇAMENTO'!$C$3:$L$79,8,FALSE)</f>
        <v>7829.9574102499992</v>
      </c>
      <c r="J2350" s="631">
        <f t="shared" ref="J2350" si="693">IF(ISBLANK(I2350),"",SUM(H2350:I2350))</f>
        <v>8890.6224201721998</v>
      </c>
      <c r="K2350" s="593">
        <f t="shared" si="676"/>
        <v>11268.86</v>
      </c>
      <c r="L2350" s="594" t="s">
        <v>21</v>
      </c>
      <c r="M2350" s="30"/>
      <c r="N2350" s="30">
        <v>11268.86</v>
      </c>
      <c r="O2350" s="287">
        <f t="shared" si="689"/>
        <v>0</v>
      </c>
      <c r="P2350" s="287">
        <f t="shared" si="690"/>
        <v>0</v>
      </c>
      <c r="Q2350" s="288"/>
      <c r="S2350" s="378" t="str">
        <f t="shared" si="673"/>
        <v/>
      </c>
    </row>
    <row r="2351" spans="2:19" hidden="1" x14ac:dyDescent="0.2">
      <c r="B2351" s="771" t="s">
        <v>168</v>
      </c>
      <c r="C2351" s="596"/>
      <c r="D2351" s="383" t="s">
        <v>213</v>
      </c>
      <c r="E2351" s="704"/>
      <c r="F2351" s="661">
        <v>500</v>
      </c>
      <c r="G2351" s="665">
        <f>VLOOKUP(D2350,'ENSAIOS DE ORÇAMENTO'!$C$3:$L$79,4,FALSE)</f>
        <v>1.2096229499999998</v>
      </c>
      <c r="H2351" s="664">
        <f>IF(F2351&lt;=30,(0.75*F2351+6.29)*G2351,((0.75*30+6.29)+0.62*(F2351-30))*G2351)</f>
        <v>387.30917236049993</v>
      </c>
      <c r="I2351" s="380"/>
      <c r="J2351" s="631"/>
      <c r="K2351" s="593">
        <f t="shared" si="676"/>
        <v>0</v>
      </c>
      <c r="L2351" s="594"/>
      <c r="M2351" s="600"/>
      <c r="N2351" s="600">
        <v>0</v>
      </c>
      <c r="O2351" s="287">
        <f t="shared" si="689"/>
        <v>0</v>
      </c>
      <c r="P2351" s="287">
        <f t="shared" si="690"/>
        <v>0</v>
      </c>
      <c r="Q2351" s="288"/>
      <c r="R2351" s="311" t="str">
        <f>IF(P2350&gt;0,"xy","")</f>
        <v/>
      </c>
      <c r="S2351" s="378" t="str">
        <f t="shared" si="673"/>
        <v/>
      </c>
    </row>
    <row r="2352" spans="2:19" hidden="1" x14ac:dyDescent="0.2">
      <c r="B2352" s="771" t="s">
        <v>168</v>
      </c>
      <c r="C2352" s="596"/>
      <c r="D2352" s="383" t="s">
        <v>249</v>
      </c>
      <c r="E2352" s="704"/>
      <c r="F2352" s="661">
        <v>180</v>
      </c>
      <c r="G2352" s="665">
        <f>VLOOKUP(D2350,'ENSAIOS DE ORÇAMENTO'!$C$3:$L$79,5,FALSE)</f>
        <v>3.5097804149999998</v>
      </c>
      <c r="H2352" s="663">
        <f t="shared" ref="H2352" si="694">IF(F2352&lt;=30,(1.05*F2352+2.18)*G2352,((1.05*30+2.18)+0.87*(F2352-30))*G2352)</f>
        <v>576.23574853469995</v>
      </c>
      <c r="I2352" s="380"/>
      <c r="J2352" s="631"/>
      <c r="K2352" s="593">
        <f t="shared" si="676"/>
        <v>0</v>
      </c>
      <c r="L2352" s="594"/>
      <c r="M2352" s="600"/>
      <c r="N2352" s="600">
        <v>0</v>
      </c>
      <c r="O2352" s="287">
        <f t="shared" si="689"/>
        <v>0</v>
      </c>
      <c r="P2352" s="287">
        <f t="shared" si="690"/>
        <v>0</v>
      </c>
      <c r="Q2352" s="288"/>
      <c r="R2352" s="311" t="str">
        <f>IF(P2350&gt;0,"xy","")</f>
        <v/>
      </c>
      <c r="S2352" s="378" t="str">
        <f t="shared" si="673"/>
        <v/>
      </c>
    </row>
    <row r="2353" spans="2:19" hidden="1" x14ac:dyDescent="0.2">
      <c r="B2353" s="771" t="s">
        <v>168</v>
      </c>
      <c r="C2353" s="596"/>
      <c r="D2353" s="383" t="s">
        <v>253</v>
      </c>
      <c r="E2353" s="704"/>
      <c r="F2353" s="661">
        <v>20</v>
      </c>
      <c r="G2353" s="665">
        <f>VLOOKUP(D2350,'ENSAIOS DE ORÇAMENTO'!$C$3:$L$79,6,FALSE)</f>
        <v>4.18982265</v>
      </c>
      <c r="H2353" s="663">
        <f>IF(F2353&lt;=30,(1.05*F2353+2.18)*G2353,((1.05*30+2.18)+0.87*(F2353-30))*G2353)</f>
        <v>97.120089026999992</v>
      </c>
      <c r="I2353" s="380"/>
      <c r="J2353" s="631"/>
      <c r="K2353" s="593">
        <f t="shared" si="676"/>
        <v>0</v>
      </c>
      <c r="L2353" s="594"/>
      <c r="M2353" s="600"/>
      <c r="N2353" s="600">
        <v>0</v>
      </c>
      <c r="O2353" s="287">
        <f t="shared" si="689"/>
        <v>0</v>
      </c>
      <c r="P2353" s="287">
        <f t="shared" si="690"/>
        <v>0</v>
      </c>
      <c r="Q2353" s="288"/>
      <c r="R2353" s="243" t="str">
        <f>IF(P2350&gt;0,"xy","")</f>
        <v/>
      </c>
      <c r="S2353" s="378" t="str">
        <f t="shared" si="673"/>
        <v/>
      </c>
    </row>
    <row r="2354" spans="2:19" hidden="1" x14ac:dyDescent="0.2">
      <c r="B2354" s="771" t="s">
        <v>168</v>
      </c>
      <c r="C2354" s="596"/>
      <c r="D2354" s="383" t="s">
        <v>402</v>
      </c>
      <c r="E2354" s="704"/>
      <c r="F2354" s="661">
        <v>30</v>
      </c>
      <c r="G2354" s="665">
        <f>VLOOKUP(D2350,'ENSAIOS DE ORÇAMENTO'!$C$3:$L$79,3,FALSE)</f>
        <v>0</v>
      </c>
      <c r="H2354" s="663">
        <f>IF(F2354&lt;=30,(1.05*F2354+2.18)*G2354,((1.05*30+2.18)+0.87*(F2354-30))*G2354)</f>
        <v>0</v>
      </c>
      <c r="I2354" s="380"/>
      <c r="J2354" s="631"/>
      <c r="K2354" s="593">
        <f t="shared" si="676"/>
        <v>0</v>
      </c>
      <c r="L2354" s="594"/>
      <c r="M2354" s="600"/>
      <c r="N2354" s="600">
        <v>0</v>
      </c>
      <c r="O2354" s="287">
        <f t="shared" si="689"/>
        <v>0</v>
      </c>
      <c r="P2354" s="287">
        <f t="shared" si="690"/>
        <v>0</v>
      </c>
      <c r="Q2354" s="288"/>
      <c r="R2354" s="311" t="str">
        <f>IF(P2350&gt;0,"xy","")</f>
        <v/>
      </c>
      <c r="S2354" s="378" t="str">
        <f t="shared" si="673"/>
        <v/>
      </c>
    </row>
    <row r="2355" spans="2:19" hidden="1" x14ac:dyDescent="0.2">
      <c r="B2355" s="771" t="s">
        <v>168</v>
      </c>
      <c r="C2355" s="596"/>
      <c r="D2355" s="383" t="s">
        <v>403</v>
      </c>
      <c r="E2355" s="704"/>
      <c r="F2355" s="661">
        <v>500</v>
      </c>
      <c r="G2355" s="665">
        <f>VLOOKUP(D2350,'ENSAIOS DE ORÇAMENTO'!$C$3:$L$79,10,FALSE)</f>
        <v>0</v>
      </c>
      <c r="H2355" s="663">
        <f>IF(F2355&lt;=30,(1.05*F2355+2.18)*G2355,((1.05*30+2.18)+0.87*(F2355-30))*G2355)</f>
        <v>0</v>
      </c>
      <c r="I2355" s="380"/>
      <c r="J2355" s="631"/>
      <c r="K2355" s="593">
        <f t="shared" si="676"/>
        <v>0</v>
      </c>
      <c r="L2355" s="594"/>
      <c r="M2355" s="600"/>
      <c r="N2355" s="600">
        <v>0</v>
      </c>
      <c r="O2355" s="287">
        <f t="shared" si="689"/>
        <v>0</v>
      </c>
      <c r="P2355" s="287">
        <f t="shared" si="690"/>
        <v>0</v>
      </c>
      <c r="Q2355" s="288"/>
      <c r="R2355" s="311" t="str">
        <f>IF(P2350&gt;0,"xy","")</f>
        <v/>
      </c>
      <c r="S2355" s="378" t="str">
        <f t="shared" si="673"/>
        <v/>
      </c>
    </row>
    <row r="2356" spans="2:19" hidden="1" x14ac:dyDescent="0.2">
      <c r="B2356" s="771" t="s">
        <v>45</v>
      </c>
      <c r="C2356" s="596" t="s">
        <v>207</v>
      </c>
      <c r="D2356" s="383" t="s">
        <v>423</v>
      </c>
      <c r="E2356" s="704"/>
      <c r="F2356" s="661"/>
      <c r="G2356" s="665"/>
      <c r="H2356" s="664">
        <f>SUM(H2357:H2361)</f>
        <v>1671.7913872182003</v>
      </c>
      <c r="I2356" s="380">
        <f>VLOOKUP(D2356,'ENSAIOS DE ORÇAMENTO'!$C$3:$L$79,8,FALSE)</f>
        <v>12369.133980250001</v>
      </c>
      <c r="J2356" s="631">
        <f t="shared" ref="J2356" si="695">IF(ISBLANK(I2356),"",SUM(H2356:I2356))</f>
        <v>14040.9253674682</v>
      </c>
      <c r="K2356" s="593">
        <f t="shared" si="676"/>
        <v>17796.87</v>
      </c>
      <c r="L2356" s="594" t="s">
        <v>21</v>
      </c>
      <c r="M2356" s="30"/>
      <c r="N2356" s="30">
        <v>17796.87</v>
      </c>
      <c r="O2356" s="287">
        <f t="shared" si="689"/>
        <v>0</v>
      </c>
      <c r="P2356" s="287">
        <f t="shared" si="690"/>
        <v>0</v>
      </c>
      <c r="Q2356" s="288"/>
      <c r="S2356" s="378" t="str">
        <f t="shared" si="673"/>
        <v/>
      </c>
    </row>
    <row r="2357" spans="2:19" hidden="1" x14ac:dyDescent="0.2">
      <c r="B2357" s="771" t="s">
        <v>168</v>
      </c>
      <c r="C2357" s="596"/>
      <c r="D2357" s="383" t="s">
        <v>213</v>
      </c>
      <c r="E2357" s="704"/>
      <c r="F2357" s="661">
        <v>500</v>
      </c>
      <c r="G2357" s="665">
        <f>VLOOKUP(D2356,'ENSAIOS DE ORÇAMENTO'!$C$3:$L$79,4,FALSE)</f>
        <v>1.9087789500000001</v>
      </c>
      <c r="H2357" s="664">
        <f>IF(F2357&lt;=30,(0.75*F2357+6.29)*G2357,((0.75*30+6.29)+0.62*(F2357-30))*G2357)</f>
        <v>611.17193200050008</v>
      </c>
      <c r="I2357" s="380"/>
      <c r="J2357" s="631"/>
      <c r="K2357" s="593">
        <f t="shared" si="676"/>
        <v>0</v>
      </c>
      <c r="L2357" s="594"/>
      <c r="M2357" s="600"/>
      <c r="N2357" s="600">
        <v>0</v>
      </c>
      <c r="O2357" s="287">
        <f t="shared" si="689"/>
        <v>0</v>
      </c>
      <c r="P2357" s="287">
        <f t="shared" si="690"/>
        <v>0</v>
      </c>
      <c r="Q2357" s="288"/>
      <c r="R2357" s="311" t="str">
        <f>IF(P2356&gt;0,"xy","")</f>
        <v/>
      </c>
      <c r="S2357" s="378" t="str">
        <f t="shared" si="673"/>
        <v/>
      </c>
    </row>
    <row r="2358" spans="2:19" hidden="1" x14ac:dyDescent="0.2">
      <c r="B2358" s="771" t="s">
        <v>168</v>
      </c>
      <c r="C2358" s="596"/>
      <c r="D2358" s="383" t="s">
        <v>249</v>
      </c>
      <c r="E2358" s="704"/>
      <c r="F2358" s="661">
        <v>180</v>
      </c>
      <c r="G2358" s="665">
        <f>VLOOKUP(D2356,'ENSAIOS DE ORÇAMENTO'!$C$3:$L$79,5,FALSE)</f>
        <v>5.5279776150000002</v>
      </c>
      <c r="H2358" s="663">
        <f t="shared" ref="H2358" si="696">IF(F2358&lt;=30,(1.05*F2358+2.18)*G2358,((1.05*30+2.18)+0.87*(F2358-30))*G2358)</f>
        <v>907.58336483070002</v>
      </c>
      <c r="I2358" s="380"/>
      <c r="J2358" s="631"/>
      <c r="K2358" s="593">
        <f t="shared" si="676"/>
        <v>0</v>
      </c>
      <c r="L2358" s="594"/>
      <c r="M2358" s="600"/>
      <c r="N2358" s="600">
        <v>0</v>
      </c>
      <c r="O2358" s="287">
        <f t="shared" si="689"/>
        <v>0</v>
      </c>
      <c r="P2358" s="287">
        <f t="shared" si="690"/>
        <v>0</v>
      </c>
      <c r="Q2358" s="288"/>
      <c r="R2358" s="311" t="str">
        <f>IF(P2356&gt;0,"xy","")</f>
        <v/>
      </c>
      <c r="S2358" s="378" t="str">
        <f t="shared" si="673"/>
        <v/>
      </c>
    </row>
    <row r="2359" spans="2:19" hidden="1" x14ac:dyDescent="0.2">
      <c r="B2359" s="771" t="s">
        <v>168</v>
      </c>
      <c r="C2359" s="596"/>
      <c r="D2359" s="383" t="s">
        <v>253</v>
      </c>
      <c r="E2359" s="704"/>
      <c r="F2359" s="661">
        <v>20</v>
      </c>
      <c r="G2359" s="665">
        <f>VLOOKUP(D2356,'ENSAIOS DE ORÇAMENTO'!$C$3:$L$79,6,FALSE)</f>
        <v>6.6020746500000005</v>
      </c>
      <c r="H2359" s="663">
        <f>IF(F2359&lt;=30,(1.05*F2359+2.18)*G2359,((1.05*30+2.18)+0.87*(F2359-30))*G2359)</f>
        <v>153.036090387</v>
      </c>
      <c r="I2359" s="380"/>
      <c r="J2359" s="631"/>
      <c r="K2359" s="593">
        <f t="shared" si="676"/>
        <v>0</v>
      </c>
      <c r="L2359" s="594"/>
      <c r="M2359" s="600"/>
      <c r="N2359" s="600">
        <v>0</v>
      </c>
      <c r="O2359" s="287">
        <f t="shared" si="689"/>
        <v>0</v>
      </c>
      <c r="P2359" s="287">
        <f t="shared" si="690"/>
        <v>0</v>
      </c>
      <c r="Q2359" s="288"/>
      <c r="R2359" s="243" t="str">
        <f>IF(P2356&gt;0,"xy","")</f>
        <v/>
      </c>
      <c r="S2359" s="378" t="str">
        <f t="shared" si="673"/>
        <v/>
      </c>
    </row>
    <row r="2360" spans="2:19" hidden="1" x14ac:dyDescent="0.2">
      <c r="B2360" s="771" t="s">
        <v>168</v>
      </c>
      <c r="C2360" s="596"/>
      <c r="D2360" s="383" t="s">
        <v>402</v>
      </c>
      <c r="E2360" s="704"/>
      <c r="F2360" s="661">
        <v>30</v>
      </c>
      <c r="G2360" s="665">
        <f>VLOOKUP(D2356,'ENSAIOS DE ORÇAMENTO'!$C$3:$L$79,3,FALSE)</f>
        <v>0</v>
      </c>
      <c r="H2360" s="663">
        <f>IF(F2360&lt;=30,(1.05*F2360+2.18)*G2360,((1.05*30+2.18)+0.87*(F2360-30))*G2360)</f>
        <v>0</v>
      </c>
      <c r="I2360" s="380"/>
      <c r="J2360" s="631"/>
      <c r="K2360" s="593">
        <f t="shared" si="676"/>
        <v>0</v>
      </c>
      <c r="L2360" s="594"/>
      <c r="M2360" s="600"/>
      <c r="N2360" s="600">
        <v>0</v>
      </c>
      <c r="O2360" s="287">
        <f t="shared" si="689"/>
        <v>0</v>
      </c>
      <c r="P2360" s="287">
        <f t="shared" si="690"/>
        <v>0</v>
      </c>
      <c r="Q2360" s="288"/>
      <c r="R2360" s="311" t="str">
        <f>IF(P2356&gt;0,"xy","")</f>
        <v/>
      </c>
      <c r="S2360" s="378" t="str">
        <f t="shared" si="673"/>
        <v/>
      </c>
    </row>
    <row r="2361" spans="2:19" hidden="1" x14ac:dyDescent="0.2">
      <c r="B2361" s="771" t="s">
        <v>168</v>
      </c>
      <c r="C2361" s="596"/>
      <c r="D2361" s="383" t="s">
        <v>403</v>
      </c>
      <c r="E2361" s="704"/>
      <c r="F2361" s="661">
        <v>500</v>
      </c>
      <c r="G2361" s="665">
        <f>VLOOKUP(D2356,'ENSAIOS DE ORÇAMENTO'!$C$3:$L$79,10,FALSE)</f>
        <v>0</v>
      </c>
      <c r="H2361" s="663">
        <f>IF(F2361&lt;=30,(1.05*F2361+2.18)*G2361,((1.05*30+2.18)+0.87*(F2361-30))*G2361)</f>
        <v>0</v>
      </c>
      <c r="I2361" s="380"/>
      <c r="J2361" s="631"/>
      <c r="K2361" s="593">
        <f t="shared" si="676"/>
        <v>0</v>
      </c>
      <c r="L2361" s="594"/>
      <c r="M2361" s="600"/>
      <c r="N2361" s="600">
        <v>0</v>
      </c>
      <c r="O2361" s="287">
        <f t="shared" si="689"/>
        <v>0</v>
      </c>
      <c r="P2361" s="287">
        <f t="shared" si="690"/>
        <v>0</v>
      </c>
      <c r="Q2361" s="288"/>
      <c r="R2361" s="311" t="str">
        <f>IF(P2356&gt;0,"xy","")</f>
        <v/>
      </c>
      <c r="S2361" s="378" t="str">
        <f t="shared" si="673"/>
        <v/>
      </c>
    </row>
    <row r="2362" spans="2:19" hidden="1" x14ac:dyDescent="0.2">
      <c r="B2362" s="771" t="s">
        <v>133</v>
      </c>
      <c r="C2362" s="596" t="s">
        <v>207</v>
      </c>
      <c r="D2362" s="383" t="s">
        <v>145</v>
      </c>
      <c r="E2362" s="704"/>
      <c r="F2362" s="661"/>
      <c r="G2362" s="665"/>
      <c r="H2362" s="664">
        <f>SUM(H2363:H2367)</f>
        <v>360.08334810800011</v>
      </c>
      <c r="I2362" s="380">
        <f>VLOOKUP(D2362,'ENSAIOS DE ORÇAMENTO'!$C$3:$L$79,8,FALSE)</f>
        <v>2236.6139680000001</v>
      </c>
      <c r="J2362" s="631">
        <f t="shared" ref="J2362" si="697">IF(ISBLANK(I2362),"",SUM(H2362:I2362))</f>
        <v>2596.6973161080005</v>
      </c>
      <c r="K2362" s="593">
        <f t="shared" si="676"/>
        <v>3291.31</v>
      </c>
      <c r="L2362" s="594" t="s">
        <v>21</v>
      </c>
      <c r="M2362" s="30"/>
      <c r="N2362" s="30">
        <v>3291.31</v>
      </c>
      <c r="O2362" s="287">
        <f t="shared" si="689"/>
        <v>0</v>
      </c>
      <c r="P2362" s="287">
        <f t="shared" si="690"/>
        <v>0</v>
      </c>
      <c r="Q2362" s="288"/>
      <c r="S2362" s="378" t="str">
        <f t="shared" si="673"/>
        <v/>
      </c>
    </row>
    <row r="2363" spans="2:19" hidden="1" x14ac:dyDescent="0.2">
      <c r="B2363" s="771" t="s">
        <v>168</v>
      </c>
      <c r="C2363" s="596"/>
      <c r="D2363" s="383" t="s">
        <v>213</v>
      </c>
      <c r="E2363" s="704"/>
      <c r="F2363" s="661">
        <v>500</v>
      </c>
      <c r="G2363" s="665">
        <f>VLOOKUP(D2362,'ENSAIOS DE ORÇAMENTO'!$C$3:$L$79,4,FALSE)</f>
        <v>0.35276220000000008</v>
      </c>
      <c r="H2363" s="664">
        <f>IF(F2363&lt;=30,(0.75*F2363+6.29)*G2363,((0.75*30+6.29)+0.62*(F2363-30))*G2363)</f>
        <v>112.95092881800002</v>
      </c>
      <c r="I2363" s="380"/>
      <c r="J2363" s="631"/>
      <c r="K2363" s="593">
        <f t="shared" si="676"/>
        <v>0</v>
      </c>
      <c r="L2363" s="594"/>
      <c r="M2363" s="600"/>
      <c r="N2363" s="600">
        <v>0</v>
      </c>
      <c r="O2363" s="287">
        <f t="shared" si="689"/>
        <v>0</v>
      </c>
      <c r="P2363" s="287">
        <f t="shared" si="690"/>
        <v>0</v>
      </c>
      <c r="Q2363" s="288"/>
      <c r="R2363" s="311" t="str">
        <f>IF(P2362&gt;0,"xy","")</f>
        <v/>
      </c>
      <c r="S2363" s="378" t="str">
        <f t="shared" si="673"/>
        <v/>
      </c>
    </row>
    <row r="2364" spans="2:19" hidden="1" x14ac:dyDescent="0.2">
      <c r="B2364" s="771" t="s">
        <v>168</v>
      </c>
      <c r="C2364" s="596"/>
      <c r="D2364" s="383" t="s">
        <v>249</v>
      </c>
      <c r="E2364" s="704"/>
      <c r="F2364" s="661">
        <v>180</v>
      </c>
      <c r="G2364" s="665">
        <f>VLOOKUP(D2362,'ENSAIOS DE ORÇAMENTO'!$C$3:$L$79,5,FALSE)</f>
        <v>1.1888125000000003</v>
      </c>
      <c r="H2364" s="663">
        <f t="shared" ref="H2364" si="698">IF(F2364&lt;=30,(1.05*F2364+2.18)*G2364,((1.05*30+2.18)+0.87*(F2364-30))*G2364)</f>
        <v>195.17923625000006</v>
      </c>
      <c r="I2364" s="380"/>
      <c r="J2364" s="631"/>
      <c r="K2364" s="593">
        <f t="shared" si="676"/>
        <v>0</v>
      </c>
      <c r="L2364" s="594"/>
      <c r="M2364" s="600"/>
      <c r="N2364" s="600">
        <v>0</v>
      </c>
      <c r="O2364" s="287">
        <f t="shared" si="689"/>
        <v>0</v>
      </c>
      <c r="P2364" s="287">
        <f t="shared" si="690"/>
        <v>0</v>
      </c>
      <c r="Q2364" s="288"/>
      <c r="R2364" s="311" t="str">
        <f>IF(P2362&gt;0,"xy","")</f>
        <v/>
      </c>
      <c r="S2364" s="378" t="str">
        <f t="shared" si="673"/>
        <v/>
      </c>
    </row>
    <row r="2365" spans="2:19" hidden="1" x14ac:dyDescent="0.2">
      <c r="B2365" s="771" t="s">
        <v>168</v>
      </c>
      <c r="C2365" s="596"/>
      <c r="D2365" s="383" t="s">
        <v>253</v>
      </c>
      <c r="E2365" s="704"/>
      <c r="F2365" s="661">
        <v>20</v>
      </c>
      <c r="G2365" s="665">
        <f>VLOOKUP(D2362,'ENSAIOS DE ORÇAMENTO'!$C$3:$L$79,6,FALSE)</f>
        <v>1.1100000000000001</v>
      </c>
      <c r="H2365" s="663">
        <f>IF(F2365&lt;=30,(1.05*F2365+2.18)*G2365,((1.05*30+2.18)+0.87*(F2365-30))*G2365)</f>
        <v>25.729800000000001</v>
      </c>
      <c r="I2365" s="380"/>
      <c r="J2365" s="631"/>
      <c r="K2365" s="593">
        <f t="shared" si="676"/>
        <v>0</v>
      </c>
      <c r="L2365" s="594"/>
      <c r="M2365" s="600"/>
      <c r="N2365" s="600">
        <v>0</v>
      </c>
      <c r="O2365" s="287">
        <f t="shared" si="689"/>
        <v>0</v>
      </c>
      <c r="P2365" s="287">
        <f t="shared" si="690"/>
        <v>0</v>
      </c>
      <c r="Q2365" s="288"/>
      <c r="R2365" s="243" t="str">
        <f>IF(P2362&gt;0,"xy","")</f>
        <v/>
      </c>
      <c r="S2365" s="378" t="str">
        <f t="shared" ref="S2365:S2428" si="699">IF(R2365="x","x",IF(R2365="y","x",IF(R2365="xy","x",IF(P2365&gt;0,"x",""))))</f>
        <v/>
      </c>
    </row>
    <row r="2366" spans="2:19" hidden="1" x14ac:dyDescent="0.2">
      <c r="B2366" s="771" t="s">
        <v>168</v>
      </c>
      <c r="C2366" s="596"/>
      <c r="D2366" s="383" t="s">
        <v>402</v>
      </c>
      <c r="E2366" s="704"/>
      <c r="F2366" s="661">
        <v>30</v>
      </c>
      <c r="G2366" s="665">
        <f>VLOOKUP(D2362,'ENSAIOS DE ORÇAMENTO'!$C$3:$L$79,3,FALSE)</f>
        <v>0.54144000000000003</v>
      </c>
      <c r="H2366" s="663">
        <f>IF(F2366&lt;=30,(1.05*F2366+2.18)*G2366,((1.05*30+2.18)+0.87*(F2366-30))*G2366)</f>
        <v>18.235699200000003</v>
      </c>
      <c r="I2366" s="380"/>
      <c r="J2366" s="631"/>
      <c r="K2366" s="593">
        <f t="shared" si="676"/>
        <v>0</v>
      </c>
      <c r="L2366" s="594"/>
      <c r="M2366" s="600"/>
      <c r="N2366" s="600">
        <v>0</v>
      </c>
      <c r="O2366" s="287">
        <f t="shared" si="689"/>
        <v>0</v>
      </c>
      <c r="P2366" s="287">
        <f t="shared" si="690"/>
        <v>0</v>
      </c>
      <c r="Q2366" s="288"/>
      <c r="R2366" s="311" t="str">
        <f>IF(P2362&gt;0,"xy","")</f>
        <v/>
      </c>
      <c r="S2366" s="378" t="str">
        <f t="shared" si="699"/>
        <v/>
      </c>
    </row>
    <row r="2367" spans="2:19" hidden="1" x14ac:dyDescent="0.2">
      <c r="B2367" s="771" t="s">
        <v>168</v>
      </c>
      <c r="C2367" s="596"/>
      <c r="D2367" s="383" t="s">
        <v>403</v>
      </c>
      <c r="E2367" s="704"/>
      <c r="F2367" s="661">
        <v>500</v>
      </c>
      <c r="G2367" s="665">
        <f>VLOOKUP(D2362,'ENSAIOS DE ORÇAMENTO'!$C$3:$L$79,10,FALSE)</f>
        <v>1.8048000000000002E-2</v>
      </c>
      <c r="H2367" s="663">
        <f>IF(F2367&lt;=30,(1.05*F2367+2.18)*G2367,((1.05*30+2.18)+0.87*(F2367-30))*G2367)</f>
        <v>7.9876838400000008</v>
      </c>
      <c r="I2367" s="380"/>
      <c r="J2367" s="631"/>
      <c r="K2367" s="593">
        <f t="shared" si="676"/>
        <v>0</v>
      </c>
      <c r="L2367" s="594"/>
      <c r="M2367" s="600"/>
      <c r="N2367" s="600">
        <v>0</v>
      </c>
      <c r="O2367" s="287">
        <f t="shared" si="689"/>
        <v>0</v>
      </c>
      <c r="P2367" s="287">
        <f t="shared" si="690"/>
        <v>0</v>
      </c>
      <c r="Q2367" s="288"/>
      <c r="R2367" s="311" t="str">
        <f>IF(P2362&gt;0,"xy","")</f>
        <v/>
      </c>
      <c r="S2367" s="378" t="str">
        <f t="shared" si="699"/>
        <v/>
      </c>
    </row>
    <row r="2368" spans="2:19" hidden="1" x14ac:dyDescent="0.2">
      <c r="B2368" s="771" t="s">
        <v>134</v>
      </c>
      <c r="C2368" s="596" t="s">
        <v>207</v>
      </c>
      <c r="D2368" s="383" t="s">
        <v>146</v>
      </c>
      <c r="E2368" s="704"/>
      <c r="F2368" s="661"/>
      <c r="G2368" s="665"/>
      <c r="H2368" s="664">
        <f>SUM(H2369:H2373)</f>
        <v>409.02737678399996</v>
      </c>
      <c r="I2368" s="380">
        <f>VLOOKUP(D2368,'ENSAIOS DE ORÇAMENTO'!$C$3:$L$79,8,FALSE)</f>
        <v>2445.2237239999995</v>
      </c>
      <c r="J2368" s="631">
        <f t="shared" ref="J2368" si="700">IF(ISBLANK(I2368),"",SUM(H2368:I2368))</f>
        <v>2854.2511007839994</v>
      </c>
      <c r="K2368" s="593">
        <f t="shared" si="676"/>
        <v>3617.76</v>
      </c>
      <c r="L2368" s="594" t="s">
        <v>21</v>
      </c>
      <c r="M2368" s="30"/>
      <c r="N2368" s="30">
        <v>3617.76</v>
      </c>
      <c r="O2368" s="287">
        <f t="shared" si="689"/>
        <v>0</v>
      </c>
      <c r="P2368" s="287">
        <f t="shared" si="690"/>
        <v>0</v>
      </c>
      <c r="Q2368" s="288"/>
      <c r="S2368" s="378" t="str">
        <f t="shared" si="699"/>
        <v/>
      </c>
    </row>
    <row r="2369" spans="2:19" hidden="1" x14ac:dyDescent="0.2">
      <c r="B2369" s="771" t="s">
        <v>168</v>
      </c>
      <c r="C2369" s="596"/>
      <c r="D2369" s="383" t="s">
        <v>213</v>
      </c>
      <c r="E2369" s="704"/>
      <c r="F2369" s="661">
        <v>500</v>
      </c>
      <c r="G2369" s="665">
        <f>VLOOKUP(D2368,'ENSAIOS DE ORÇAMENTO'!$C$3:$L$79,4,FALSE)</f>
        <v>0.38489359999999995</v>
      </c>
      <c r="H2369" s="664">
        <f>IF(F2369&lt;=30,(0.75*F2369+6.29)*G2369,((0.75*30+6.29)+0.62*(F2369-30))*G2369)</f>
        <v>123.23908178399998</v>
      </c>
      <c r="I2369" s="380"/>
      <c r="J2369" s="631"/>
      <c r="K2369" s="593">
        <f t="shared" si="676"/>
        <v>0</v>
      </c>
      <c r="L2369" s="594"/>
      <c r="M2369" s="600"/>
      <c r="N2369" s="600">
        <v>0</v>
      </c>
      <c r="O2369" s="287">
        <f t="shared" si="689"/>
        <v>0</v>
      </c>
      <c r="P2369" s="287">
        <f t="shared" si="690"/>
        <v>0</v>
      </c>
      <c r="Q2369" s="288"/>
      <c r="R2369" s="311" t="str">
        <f>IF(P2368&gt;0,"xy","")</f>
        <v/>
      </c>
      <c r="S2369" s="378" t="str">
        <f t="shared" si="699"/>
        <v/>
      </c>
    </row>
    <row r="2370" spans="2:19" hidden="1" x14ac:dyDescent="0.2">
      <c r="B2370" s="771" t="s">
        <v>168</v>
      </c>
      <c r="C2370" s="596"/>
      <c r="D2370" s="383" t="s">
        <v>249</v>
      </c>
      <c r="E2370" s="704"/>
      <c r="F2370" s="661">
        <v>180</v>
      </c>
      <c r="G2370" s="665">
        <f>VLOOKUP(D2368,'ENSAIOS DE ORÇAMENTO'!$C$3:$L$79,5,FALSE)</f>
        <v>1.3499699999999999</v>
      </c>
      <c r="H2370" s="663">
        <f t="shared" ref="H2370" si="701">IF(F2370&lt;=30,(1.05*F2370+2.18)*G2370,((1.05*30+2.18)+0.87*(F2370-30))*G2370)</f>
        <v>221.63807459999998</v>
      </c>
      <c r="I2370" s="380"/>
      <c r="J2370" s="631"/>
      <c r="K2370" s="593">
        <f t="shared" ref="K2370:K2433" si="702">IF(ISBLANK(I2370),0,ROUND(J2370*(1+$F$10)*(1+$F$11*E2370),2))</f>
        <v>0</v>
      </c>
      <c r="L2370" s="594"/>
      <c r="M2370" s="600"/>
      <c r="N2370" s="600">
        <v>0</v>
      </c>
      <c r="O2370" s="287">
        <f t="shared" si="689"/>
        <v>0</v>
      </c>
      <c r="P2370" s="287">
        <f t="shared" si="690"/>
        <v>0</v>
      </c>
      <c r="Q2370" s="288"/>
      <c r="R2370" s="311" t="str">
        <f>IF(P2368&gt;0,"xy","")</f>
        <v/>
      </c>
      <c r="S2370" s="378" t="str">
        <f t="shared" si="699"/>
        <v/>
      </c>
    </row>
    <row r="2371" spans="2:19" hidden="1" x14ac:dyDescent="0.2">
      <c r="B2371" s="771" t="s">
        <v>168</v>
      </c>
      <c r="C2371" s="596"/>
      <c r="D2371" s="383" t="s">
        <v>253</v>
      </c>
      <c r="E2371" s="704"/>
      <c r="F2371" s="661">
        <v>20</v>
      </c>
      <c r="G2371" s="665">
        <f>VLOOKUP(D2368,'ENSAIOS DE ORÇAMENTO'!$C$3:$L$79,6,FALSE)</f>
        <v>1.1766000000000001</v>
      </c>
      <c r="H2371" s="663">
        <f>IF(F2371&lt;=30,(1.05*F2371+2.18)*G2371,((1.05*30+2.18)+0.87*(F2371-30))*G2371)</f>
        <v>27.273588</v>
      </c>
      <c r="I2371" s="380"/>
      <c r="J2371" s="631"/>
      <c r="K2371" s="593">
        <f t="shared" si="702"/>
        <v>0</v>
      </c>
      <c r="L2371" s="594"/>
      <c r="M2371" s="600"/>
      <c r="N2371" s="600">
        <v>0</v>
      </c>
      <c r="O2371" s="287">
        <f t="shared" si="689"/>
        <v>0</v>
      </c>
      <c r="P2371" s="287">
        <f t="shared" si="690"/>
        <v>0</v>
      </c>
      <c r="Q2371" s="288"/>
      <c r="R2371" s="243" t="str">
        <f>IF(P2368&gt;0,"xy","")</f>
        <v/>
      </c>
      <c r="S2371" s="378" t="str">
        <f t="shared" si="699"/>
        <v/>
      </c>
    </row>
    <row r="2372" spans="2:19" hidden="1" x14ac:dyDescent="0.2">
      <c r="B2372" s="771" t="s">
        <v>168</v>
      </c>
      <c r="C2372" s="596"/>
      <c r="D2372" s="383" t="s">
        <v>402</v>
      </c>
      <c r="E2372" s="704"/>
      <c r="F2372" s="661">
        <v>30</v>
      </c>
      <c r="G2372" s="665">
        <f>VLOOKUP(D2368,'ENSAIOS DE ORÇAMENTO'!$C$3:$L$79,3,FALSE)</f>
        <v>0.76139999999999997</v>
      </c>
      <c r="H2372" s="663">
        <f>IF(F2372&lt;=30,(1.05*F2372+2.18)*G2372,((1.05*30+2.18)+0.87*(F2372-30))*G2372)</f>
        <v>25.643951999999999</v>
      </c>
      <c r="I2372" s="380"/>
      <c r="J2372" s="631"/>
      <c r="K2372" s="593">
        <f t="shared" si="702"/>
        <v>0</v>
      </c>
      <c r="L2372" s="594"/>
      <c r="M2372" s="600"/>
      <c r="N2372" s="600">
        <v>0</v>
      </c>
      <c r="O2372" s="287">
        <f t="shared" si="689"/>
        <v>0</v>
      </c>
      <c r="P2372" s="287">
        <f t="shared" si="690"/>
        <v>0</v>
      </c>
      <c r="Q2372" s="288"/>
      <c r="R2372" s="311" t="str">
        <f>IF(P2368&gt;0,"xy","")</f>
        <v/>
      </c>
      <c r="S2372" s="378" t="str">
        <f t="shared" si="699"/>
        <v/>
      </c>
    </row>
    <row r="2373" spans="2:19" hidden="1" x14ac:dyDescent="0.2">
      <c r="B2373" s="771" t="s">
        <v>168</v>
      </c>
      <c r="C2373" s="596"/>
      <c r="D2373" s="383" t="s">
        <v>403</v>
      </c>
      <c r="E2373" s="704"/>
      <c r="F2373" s="661">
        <v>500</v>
      </c>
      <c r="G2373" s="665">
        <f>VLOOKUP(D2368,'ENSAIOS DE ORÇAMENTO'!$C$3:$L$79,10,FALSE)</f>
        <v>2.538E-2</v>
      </c>
      <c r="H2373" s="663">
        <f>IF(F2373&lt;=30,(1.05*F2373+2.18)*G2373,((1.05*30+2.18)+0.87*(F2373-30))*G2373)</f>
        <v>11.2326804</v>
      </c>
      <c r="I2373" s="380"/>
      <c r="J2373" s="631"/>
      <c r="K2373" s="593">
        <f t="shared" si="702"/>
        <v>0</v>
      </c>
      <c r="L2373" s="594"/>
      <c r="M2373" s="600"/>
      <c r="N2373" s="600">
        <v>0</v>
      </c>
      <c r="O2373" s="287">
        <f t="shared" si="689"/>
        <v>0</v>
      </c>
      <c r="P2373" s="287">
        <f t="shared" si="690"/>
        <v>0</v>
      </c>
      <c r="Q2373" s="288"/>
      <c r="R2373" s="311" t="str">
        <f>IF(P2368&gt;0,"xy","")</f>
        <v/>
      </c>
      <c r="S2373" s="378" t="str">
        <f t="shared" si="699"/>
        <v/>
      </c>
    </row>
    <row r="2374" spans="2:19" hidden="1" x14ac:dyDescent="0.2">
      <c r="B2374" s="771" t="s">
        <v>135</v>
      </c>
      <c r="C2374" s="596" t="s">
        <v>207</v>
      </c>
      <c r="D2374" s="383" t="s">
        <v>147</v>
      </c>
      <c r="E2374" s="704"/>
      <c r="F2374" s="661"/>
      <c r="G2374" s="665"/>
      <c r="H2374" s="664">
        <f>SUM(H2375:H2379)</f>
        <v>480.14142389600005</v>
      </c>
      <c r="I2374" s="380">
        <f>VLOOKUP(D2374,'ENSAIOS DE ORÇAMENTO'!$C$3:$L$79,8,FALSE)</f>
        <v>2754.8879360000001</v>
      </c>
      <c r="J2374" s="631">
        <f t="shared" ref="J2374" si="703">IF(ISBLANK(I2374),"",SUM(H2374:I2374))</f>
        <v>3235.0293598960002</v>
      </c>
      <c r="K2374" s="593">
        <f t="shared" si="702"/>
        <v>4100.3999999999996</v>
      </c>
      <c r="L2374" s="594" t="s">
        <v>21</v>
      </c>
      <c r="M2374" s="30"/>
      <c r="N2374" s="30">
        <v>4100.3999999999996</v>
      </c>
      <c r="O2374" s="287">
        <f t="shared" si="689"/>
        <v>0</v>
      </c>
      <c r="P2374" s="287">
        <f t="shared" si="690"/>
        <v>0</v>
      </c>
      <c r="Q2374" s="288"/>
      <c r="S2374" s="378" t="str">
        <f t="shared" si="699"/>
        <v/>
      </c>
    </row>
    <row r="2375" spans="2:19" hidden="1" x14ac:dyDescent="0.2">
      <c r="B2375" s="771" t="s">
        <v>168</v>
      </c>
      <c r="C2375" s="596"/>
      <c r="D2375" s="383" t="s">
        <v>213</v>
      </c>
      <c r="E2375" s="704"/>
      <c r="F2375" s="661">
        <v>500</v>
      </c>
      <c r="G2375" s="665">
        <f>VLOOKUP(D2374,'ENSAIOS DE ORÇAMENTO'!$C$3:$L$79,4,FALSE)</f>
        <v>0.43281240000000004</v>
      </c>
      <c r="H2375" s="664">
        <f>IF(F2375&lt;=30,(0.75*F2375+6.29)*G2375,((0.75*30+6.29)+0.62*(F2375-30))*G2375)</f>
        <v>138.58220235600001</v>
      </c>
      <c r="I2375" s="380"/>
      <c r="J2375" s="631"/>
      <c r="K2375" s="593">
        <f t="shared" si="702"/>
        <v>0</v>
      </c>
      <c r="L2375" s="594"/>
      <c r="M2375" s="600"/>
      <c r="N2375" s="600">
        <v>0</v>
      </c>
      <c r="O2375" s="287">
        <f t="shared" si="689"/>
        <v>0</v>
      </c>
      <c r="P2375" s="287">
        <f t="shared" si="690"/>
        <v>0</v>
      </c>
      <c r="Q2375" s="288"/>
      <c r="R2375" s="311" t="str">
        <f>IF(P2374&gt;0,"xy","")</f>
        <v/>
      </c>
      <c r="S2375" s="378" t="str">
        <f t="shared" si="699"/>
        <v/>
      </c>
    </row>
    <row r="2376" spans="2:19" hidden="1" x14ac:dyDescent="0.2">
      <c r="B2376" s="771" t="s">
        <v>168</v>
      </c>
      <c r="C2376" s="596"/>
      <c r="D2376" s="383" t="s">
        <v>249</v>
      </c>
      <c r="E2376" s="704"/>
      <c r="F2376" s="661">
        <v>180</v>
      </c>
      <c r="G2376" s="665">
        <f>VLOOKUP(D2374,'ENSAIOS DE ORÇAMENTO'!$C$3:$L$79,5,FALSE)</f>
        <v>1.5797950000000001</v>
      </c>
      <c r="H2376" s="663">
        <f t="shared" ref="H2376" si="704">IF(F2376&lt;=30,(1.05*F2376+2.18)*G2376,((1.05*30+2.18)+0.87*(F2376-30))*G2376)</f>
        <v>259.37074310000003</v>
      </c>
      <c r="I2376" s="380"/>
      <c r="J2376" s="631"/>
      <c r="K2376" s="593">
        <f t="shared" si="702"/>
        <v>0</v>
      </c>
      <c r="L2376" s="594"/>
      <c r="M2376" s="600"/>
      <c r="N2376" s="600">
        <v>0</v>
      </c>
      <c r="O2376" s="287">
        <f t="shared" si="689"/>
        <v>0</v>
      </c>
      <c r="P2376" s="287">
        <f t="shared" si="690"/>
        <v>0</v>
      </c>
      <c r="Q2376" s="288"/>
      <c r="R2376" s="311" t="str">
        <f>IF(P2374&gt;0,"xy","")</f>
        <v/>
      </c>
      <c r="S2376" s="378" t="str">
        <f t="shared" si="699"/>
        <v/>
      </c>
    </row>
    <row r="2377" spans="2:19" hidden="1" x14ac:dyDescent="0.2">
      <c r="B2377" s="771" t="s">
        <v>168</v>
      </c>
      <c r="C2377" s="596"/>
      <c r="D2377" s="383" t="s">
        <v>253</v>
      </c>
      <c r="E2377" s="704"/>
      <c r="F2377" s="661">
        <v>20</v>
      </c>
      <c r="G2377" s="665">
        <f>VLOOKUP(D2374,'ENSAIOS DE ORÇAMENTO'!$C$3:$L$79,6,FALSE)</f>
        <v>1.2654000000000003</v>
      </c>
      <c r="H2377" s="663">
        <f>IF(F2377&lt;=30,(1.05*F2377+2.18)*G2377,((1.05*30+2.18)+0.87*(F2377-30))*G2377)</f>
        <v>29.331972000000007</v>
      </c>
      <c r="I2377" s="380"/>
      <c r="J2377" s="631"/>
      <c r="K2377" s="593">
        <f t="shared" si="702"/>
        <v>0</v>
      </c>
      <c r="L2377" s="594"/>
      <c r="M2377" s="600"/>
      <c r="N2377" s="600">
        <v>0</v>
      </c>
      <c r="O2377" s="287">
        <f t="shared" si="689"/>
        <v>0</v>
      </c>
      <c r="P2377" s="287">
        <f t="shared" si="690"/>
        <v>0</v>
      </c>
      <c r="Q2377" s="288"/>
      <c r="R2377" s="243" t="str">
        <f>IF(P2374&gt;0,"xy","")</f>
        <v/>
      </c>
      <c r="S2377" s="378" t="str">
        <f t="shared" si="699"/>
        <v/>
      </c>
    </row>
    <row r="2378" spans="2:19" hidden="1" x14ac:dyDescent="0.2">
      <c r="B2378" s="771" t="s">
        <v>168</v>
      </c>
      <c r="C2378" s="596"/>
      <c r="D2378" s="383" t="s">
        <v>402</v>
      </c>
      <c r="E2378" s="704"/>
      <c r="F2378" s="661">
        <v>30</v>
      </c>
      <c r="G2378" s="665">
        <f>VLOOKUP(D2374,'ENSAIOS DE ORÇAMENTO'!$C$3:$L$79,3,FALSE)</f>
        <v>1.09134</v>
      </c>
      <c r="H2378" s="663">
        <f>IF(F2378&lt;=30,(1.05*F2378+2.18)*G2378,((1.05*30+2.18)+0.87*(F2378-30))*G2378)</f>
        <v>36.756331199999998</v>
      </c>
      <c r="I2378" s="380"/>
      <c r="J2378" s="631"/>
      <c r="K2378" s="593">
        <f t="shared" si="702"/>
        <v>0</v>
      </c>
      <c r="L2378" s="594"/>
      <c r="M2378" s="600"/>
      <c r="N2378" s="600">
        <v>0</v>
      </c>
      <c r="O2378" s="287">
        <f t="shared" si="689"/>
        <v>0</v>
      </c>
      <c r="P2378" s="287">
        <f t="shared" si="690"/>
        <v>0</v>
      </c>
      <c r="Q2378" s="288"/>
      <c r="R2378" s="311" t="str">
        <f>IF(P2374&gt;0,"xy","")</f>
        <v/>
      </c>
      <c r="S2378" s="378" t="str">
        <f t="shared" si="699"/>
        <v/>
      </c>
    </row>
    <row r="2379" spans="2:19" hidden="1" x14ac:dyDescent="0.2">
      <c r="B2379" s="771" t="s">
        <v>168</v>
      </c>
      <c r="C2379" s="596"/>
      <c r="D2379" s="383" t="s">
        <v>403</v>
      </c>
      <c r="E2379" s="704"/>
      <c r="F2379" s="661">
        <v>500</v>
      </c>
      <c r="G2379" s="665">
        <f>VLOOKUP(D2374,'ENSAIOS DE ORÇAMENTO'!$C$3:$L$79,10,FALSE)</f>
        <v>3.6378000000000001E-2</v>
      </c>
      <c r="H2379" s="663">
        <f>IF(F2379&lt;=30,(1.05*F2379+2.18)*G2379,((1.05*30+2.18)+0.87*(F2379-30))*G2379)</f>
        <v>16.100175239999999</v>
      </c>
      <c r="I2379" s="380"/>
      <c r="J2379" s="631"/>
      <c r="K2379" s="593">
        <f t="shared" si="702"/>
        <v>0</v>
      </c>
      <c r="L2379" s="594"/>
      <c r="M2379" s="600"/>
      <c r="N2379" s="600">
        <v>0</v>
      </c>
      <c r="O2379" s="287">
        <f t="shared" si="689"/>
        <v>0</v>
      </c>
      <c r="P2379" s="287">
        <f t="shared" si="690"/>
        <v>0</v>
      </c>
      <c r="Q2379" s="288"/>
      <c r="R2379" s="311" t="str">
        <f>IF(P2374&gt;0,"xy","")</f>
        <v/>
      </c>
      <c r="S2379" s="378" t="str">
        <f t="shared" si="699"/>
        <v/>
      </c>
    </row>
    <row r="2380" spans="2:19" x14ac:dyDescent="0.2">
      <c r="B2380" s="771" t="s">
        <v>46</v>
      </c>
      <c r="C2380" s="596" t="s">
        <v>207</v>
      </c>
      <c r="D2380" s="383" t="s">
        <v>148</v>
      </c>
      <c r="E2380" s="704"/>
      <c r="F2380" s="661"/>
      <c r="G2380" s="665"/>
      <c r="H2380" s="664">
        <f>SUM(H2381:H2385)</f>
        <v>115.21273991150002</v>
      </c>
      <c r="I2380" s="380">
        <f>VLOOKUP(D2380,'ENSAIOS DE ORÇAMENTO'!$C$3:$L$79,8,FALSE)</f>
        <v>2954.2647919999999</v>
      </c>
      <c r="J2380" s="631">
        <f t="shared" ref="J2380" si="705">IF(ISBLANK(I2380),"",SUM(H2380:I2380))</f>
        <v>3069.4775319115001</v>
      </c>
      <c r="K2380" s="593">
        <f t="shared" si="702"/>
        <v>3890.56</v>
      </c>
      <c r="L2380" s="594" t="s">
        <v>21</v>
      </c>
      <c r="M2380" s="30">
        <v>1</v>
      </c>
      <c r="N2380" s="30">
        <v>3890.56</v>
      </c>
      <c r="O2380" s="287">
        <f t="shared" si="689"/>
        <v>3890.56</v>
      </c>
      <c r="P2380" s="287">
        <f t="shared" si="690"/>
        <v>3890.56</v>
      </c>
      <c r="Q2380" s="288"/>
      <c r="S2380" s="378" t="str">
        <f t="shared" si="699"/>
        <v>x</v>
      </c>
    </row>
    <row r="2381" spans="2:19" x14ac:dyDescent="0.2">
      <c r="B2381" s="771" t="s">
        <v>168</v>
      </c>
      <c r="C2381" s="596"/>
      <c r="D2381" s="383" t="s">
        <v>213</v>
      </c>
      <c r="E2381" s="704"/>
      <c r="F2381" s="661">
        <v>7.77</v>
      </c>
      <c r="G2381" s="665">
        <f>VLOOKUP(D2380,'ENSAIOS DE ORÇAMENTO'!$C$3:$L$79,4,FALSE)</f>
        <v>0.46255580000000002</v>
      </c>
      <c r="H2381" s="664">
        <f>IF(F2381&lt;=30,(0.75*F2381+6.29)*G2381,((0.75*30+6.29)+0.62*(F2381-30))*G2381)</f>
        <v>5.6050199064999999</v>
      </c>
      <c r="I2381" s="380"/>
      <c r="J2381" s="631"/>
      <c r="K2381" s="593">
        <f t="shared" si="702"/>
        <v>0</v>
      </c>
      <c r="L2381" s="594"/>
      <c r="M2381" s="600"/>
      <c r="N2381" s="600">
        <v>0</v>
      </c>
      <c r="O2381" s="287">
        <f t="shared" si="689"/>
        <v>0</v>
      </c>
      <c r="P2381" s="287">
        <f t="shared" si="690"/>
        <v>0</v>
      </c>
      <c r="Q2381" s="288"/>
      <c r="R2381" s="311" t="str">
        <f>IF(P2380&gt;0,"xy","")</f>
        <v>xy</v>
      </c>
      <c r="S2381" s="378" t="str">
        <f t="shared" si="699"/>
        <v>x</v>
      </c>
    </row>
    <row r="2382" spans="2:19" x14ac:dyDescent="0.2">
      <c r="B2382" s="771" t="s">
        <v>168</v>
      </c>
      <c r="C2382" s="596"/>
      <c r="D2382" s="383" t="s">
        <v>249</v>
      </c>
      <c r="E2382" s="704"/>
      <c r="F2382" s="661">
        <v>23.8</v>
      </c>
      <c r="G2382" s="665">
        <f>VLOOKUP(D2380,'ENSAIOS DE ORÇAMENTO'!$C$3:$L$79,5,FALSE)</f>
        <v>1.7263925000000002</v>
      </c>
      <c r="H2382" s="663">
        <f t="shared" ref="H2382" si="706">IF(F2382&lt;=30,(1.05*F2382+2.18)*G2382,((1.05*30+2.18)+0.87*(F2382-30))*G2382)</f>
        <v>46.906084225000008</v>
      </c>
      <c r="I2382" s="380"/>
      <c r="J2382" s="631"/>
      <c r="K2382" s="593">
        <f t="shared" si="702"/>
        <v>0</v>
      </c>
      <c r="L2382" s="594"/>
      <c r="M2382" s="600"/>
      <c r="N2382" s="600">
        <v>0</v>
      </c>
      <c r="O2382" s="287">
        <f t="shared" si="689"/>
        <v>0</v>
      </c>
      <c r="P2382" s="287">
        <f t="shared" si="690"/>
        <v>0</v>
      </c>
      <c r="Q2382" s="288"/>
      <c r="R2382" s="311" t="str">
        <f>IF(P2380&gt;0,"xy","")</f>
        <v>xy</v>
      </c>
      <c r="S2382" s="378" t="str">
        <f t="shared" si="699"/>
        <v>x</v>
      </c>
    </row>
    <row r="2383" spans="2:19" x14ac:dyDescent="0.2">
      <c r="B2383" s="771" t="s">
        <v>168</v>
      </c>
      <c r="C2383" s="596"/>
      <c r="D2383" s="383" t="s">
        <v>253</v>
      </c>
      <c r="E2383" s="704"/>
      <c r="F2383" s="661">
        <v>19.100000000000001</v>
      </c>
      <c r="G2383" s="665">
        <f>VLOOKUP(D2380,'ENSAIOS DE ORÇAMENTO'!$C$3:$L$79,6,FALSE)</f>
        <v>1.3209000000000002</v>
      </c>
      <c r="H2383" s="663">
        <f>IF(F2383&lt;=30,(1.05*F2383+2.18)*G2383,((1.05*30+2.18)+0.87*(F2383-30))*G2383)</f>
        <v>29.370211500000007</v>
      </c>
      <c r="I2383" s="380"/>
      <c r="J2383" s="631"/>
      <c r="K2383" s="593">
        <f t="shared" si="702"/>
        <v>0</v>
      </c>
      <c r="L2383" s="594"/>
      <c r="M2383" s="600"/>
      <c r="N2383" s="600">
        <v>0</v>
      </c>
      <c r="O2383" s="287">
        <f t="shared" si="689"/>
        <v>0</v>
      </c>
      <c r="P2383" s="287">
        <f t="shared" si="690"/>
        <v>0</v>
      </c>
      <c r="Q2383" s="288"/>
      <c r="R2383" s="243" t="str">
        <f>IF(P2380&gt;0,"xy","")</f>
        <v>xy</v>
      </c>
      <c r="S2383" s="378" t="str">
        <f t="shared" si="699"/>
        <v>x</v>
      </c>
    </row>
    <row r="2384" spans="2:19" x14ac:dyDescent="0.2">
      <c r="B2384" s="771" t="s">
        <v>168</v>
      </c>
      <c r="C2384" s="596"/>
      <c r="D2384" s="383" t="s">
        <v>402</v>
      </c>
      <c r="E2384" s="704"/>
      <c r="F2384" s="661">
        <v>21.3</v>
      </c>
      <c r="G2384" s="665">
        <f>VLOOKUP(D2380,'ENSAIOS DE ORÇAMENTO'!$C$3:$L$79,3,FALSE)</f>
        <v>1.30284</v>
      </c>
      <c r="H2384" s="663">
        <f>IF(F2384&lt;=30,(1.05*F2384+2.18)*G2384,((1.05*30+2.18)+0.87*(F2384-30))*G2384)</f>
        <v>31.978207800000003</v>
      </c>
      <c r="I2384" s="380"/>
      <c r="J2384" s="631"/>
      <c r="K2384" s="593">
        <f t="shared" si="702"/>
        <v>0</v>
      </c>
      <c r="L2384" s="594"/>
      <c r="M2384" s="600"/>
      <c r="N2384" s="600">
        <v>0</v>
      </c>
      <c r="O2384" s="287">
        <f t="shared" si="689"/>
        <v>0</v>
      </c>
      <c r="P2384" s="287">
        <f t="shared" si="690"/>
        <v>0</v>
      </c>
      <c r="Q2384" s="288"/>
      <c r="R2384" s="311" t="str">
        <f>IF(P2380&gt;0,"xy","")</f>
        <v>xy</v>
      </c>
      <c r="S2384" s="378" t="str">
        <f t="shared" si="699"/>
        <v>x</v>
      </c>
    </row>
    <row r="2385" spans="2:19" x14ac:dyDescent="0.2">
      <c r="B2385" s="771" t="s">
        <v>168</v>
      </c>
      <c r="C2385" s="596"/>
      <c r="D2385" s="383" t="s">
        <v>403</v>
      </c>
      <c r="E2385" s="704"/>
      <c r="F2385" s="661">
        <v>27.6</v>
      </c>
      <c r="G2385" s="665">
        <f>VLOOKUP(D2380,'ENSAIOS DE ORÇAMENTO'!$C$3:$L$79,10,FALSE)</f>
        <v>4.3428000000000001E-2</v>
      </c>
      <c r="H2385" s="663">
        <f>IF(F2385&lt;=30,(1.05*F2385+2.18)*G2385,((1.05*30+2.18)+0.87*(F2385-30))*G2385)</f>
        <v>1.3532164800000002</v>
      </c>
      <c r="I2385" s="380"/>
      <c r="J2385" s="631"/>
      <c r="K2385" s="593">
        <f t="shared" si="702"/>
        <v>0</v>
      </c>
      <c r="L2385" s="594"/>
      <c r="M2385" s="600"/>
      <c r="N2385" s="600">
        <v>0</v>
      </c>
      <c r="O2385" s="287">
        <f t="shared" si="689"/>
        <v>0</v>
      </c>
      <c r="P2385" s="287">
        <f t="shared" si="690"/>
        <v>0</v>
      </c>
      <c r="Q2385" s="288"/>
      <c r="R2385" s="311" t="str">
        <f>IF(P2380&gt;0,"xy","")</f>
        <v>xy</v>
      </c>
      <c r="S2385" s="378" t="str">
        <f t="shared" si="699"/>
        <v>x</v>
      </c>
    </row>
    <row r="2386" spans="2:19" hidden="1" x14ac:dyDescent="0.2">
      <c r="B2386" s="708" t="s">
        <v>132</v>
      </c>
      <c r="C2386" s="596" t="s">
        <v>207</v>
      </c>
      <c r="D2386" s="383" t="s">
        <v>149</v>
      </c>
      <c r="E2386" s="704"/>
      <c r="F2386" s="661"/>
      <c r="G2386" s="665"/>
      <c r="H2386" s="664">
        <f>SUM(H2387:H2391)</f>
        <v>590.97741600400002</v>
      </c>
      <c r="I2386" s="380">
        <f>VLOOKUP(D2386,'ENSAIOS DE ORÇAMENTO'!$C$3:$L$79,8,FALSE)</f>
        <v>3255.4821039999997</v>
      </c>
      <c r="J2386" s="631">
        <f t="shared" ref="J2386" si="707">IF(ISBLANK(I2386),"",SUM(H2386:I2386))</f>
        <v>3846.4595200039998</v>
      </c>
      <c r="K2386" s="593">
        <f t="shared" si="702"/>
        <v>4875.3900000000003</v>
      </c>
      <c r="L2386" s="594" t="s">
        <v>21</v>
      </c>
      <c r="M2386" s="30"/>
      <c r="N2386" s="30">
        <v>4875.3900000000003</v>
      </c>
      <c r="O2386" s="287">
        <f t="shared" si="689"/>
        <v>0</v>
      </c>
      <c r="P2386" s="287">
        <f t="shared" si="690"/>
        <v>0</v>
      </c>
      <c r="Q2386" s="288"/>
      <c r="S2386" s="378" t="str">
        <f t="shared" si="699"/>
        <v/>
      </c>
    </row>
    <row r="2387" spans="2:19" hidden="1" x14ac:dyDescent="0.2">
      <c r="B2387" s="708" t="s">
        <v>168</v>
      </c>
      <c r="C2387" s="596"/>
      <c r="D2387" s="383" t="s">
        <v>213</v>
      </c>
      <c r="E2387" s="704"/>
      <c r="F2387" s="661">
        <v>500</v>
      </c>
      <c r="G2387" s="665">
        <f>VLOOKUP(D2386,'ENSAIOS DE ORÇAMENTO'!$C$3:$L$79,4,FALSE)</f>
        <v>0.50537460000000012</v>
      </c>
      <c r="H2387" s="664">
        <f>IF(F2387&lt;=30,(0.75*F2387+6.29)*G2387,((0.75*30+6.29)+0.62*(F2387-30))*G2387)</f>
        <v>161.81589317400002</v>
      </c>
      <c r="I2387" s="380"/>
      <c r="J2387" s="631"/>
      <c r="K2387" s="593">
        <f t="shared" si="702"/>
        <v>0</v>
      </c>
      <c r="L2387" s="594"/>
      <c r="M2387" s="600"/>
      <c r="N2387" s="600">
        <v>0</v>
      </c>
      <c r="O2387" s="287">
        <f t="shared" si="689"/>
        <v>0</v>
      </c>
      <c r="P2387" s="287">
        <f t="shared" si="690"/>
        <v>0</v>
      </c>
      <c r="Q2387" s="288"/>
      <c r="R2387" s="311" t="str">
        <f>IF(P2386&gt;0,"xy","")</f>
        <v/>
      </c>
      <c r="S2387" s="378" t="str">
        <f t="shared" si="699"/>
        <v/>
      </c>
    </row>
    <row r="2388" spans="2:19" hidden="1" x14ac:dyDescent="0.2">
      <c r="B2388" s="708" t="s">
        <v>168</v>
      </c>
      <c r="C2388" s="596"/>
      <c r="D2388" s="383" t="s">
        <v>249</v>
      </c>
      <c r="E2388" s="704"/>
      <c r="F2388" s="661">
        <v>180</v>
      </c>
      <c r="G2388" s="665">
        <f>VLOOKUP(D2386,'ENSAIOS DE ORÇAMENTO'!$C$3:$L$79,5,FALSE)</f>
        <v>1.9364075000000001</v>
      </c>
      <c r="H2388" s="663">
        <f t="shared" ref="H2388" si="708">IF(F2388&lt;=30,(1.05*F2388+2.18)*G2388,((1.05*30+2.18)+0.87*(F2388-30))*G2388)</f>
        <v>317.91938335000003</v>
      </c>
      <c r="I2388" s="380"/>
      <c r="J2388" s="631"/>
      <c r="K2388" s="593">
        <f t="shared" si="702"/>
        <v>0</v>
      </c>
      <c r="L2388" s="594"/>
      <c r="M2388" s="600"/>
      <c r="N2388" s="600">
        <v>0</v>
      </c>
      <c r="O2388" s="287">
        <f t="shared" si="689"/>
        <v>0</v>
      </c>
      <c r="P2388" s="287">
        <f t="shared" si="690"/>
        <v>0</v>
      </c>
      <c r="Q2388" s="288"/>
      <c r="R2388" s="311" t="str">
        <f>IF(P2386&gt;0,"xy","")</f>
        <v/>
      </c>
      <c r="S2388" s="378" t="str">
        <f t="shared" si="699"/>
        <v/>
      </c>
    </row>
    <row r="2389" spans="2:19" hidden="1" x14ac:dyDescent="0.2">
      <c r="B2389" s="708" t="s">
        <v>168</v>
      </c>
      <c r="C2389" s="596"/>
      <c r="D2389" s="383" t="s">
        <v>253</v>
      </c>
      <c r="E2389" s="704"/>
      <c r="F2389" s="661">
        <v>20</v>
      </c>
      <c r="G2389" s="665">
        <f>VLOOKUP(D2386,'ENSAIOS DE ORÇAMENTO'!$C$3:$L$79,6,FALSE)</f>
        <v>1.3875000000000002</v>
      </c>
      <c r="H2389" s="663">
        <f>IF(F2389&lt;=30,(1.05*F2389+2.18)*G2389,((1.05*30+2.18)+0.87*(F2389-30))*G2389)</f>
        <v>32.16225</v>
      </c>
      <c r="I2389" s="380"/>
      <c r="J2389" s="631"/>
      <c r="K2389" s="593">
        <f t="shared" si="702"/>
        <v>0</v>
      </c>
      <c r="L2389" s="594"/>
      <c r="M2389" s="600"/>
      <c r="N2389" s="600">
        <v>0</v>
      </c>
      <c r="O2389" s="287">
        <f t="shared" si="689"/>
        <v>0</v>
      </c>
      <c r="P2389" s="287">
        <f t="shared" si="690"/>
        <v>0</v>
      </c>
      <c r="Q2389" s="288"/>
      <c r="R2389" s="243" t="str">
        <f>IF(P2386&gt;0,"xy","")</f>
        <v/>
      </c>
      <c r="S2389" s="378" t="str">
        <f t="shared" si="699"/>
        <v/>
      </c>
    </row>
    <row r="2390" spans="2:19" hidden="1" x14ac:dyDescent="0.2">
      <c r="B2390" s="708" t="s">
        <v>168</v>
      </c>
      <c r="C2390" s="596"/>
      <c r="D2390" s="383" t="s">
        <v>402</v>
      </c>
      <c r="E2390" s="704"/>
      <c r="F2390" s="661">
        <v>30</v>
      </c>
      <c r="G2390" s="665">
        <f>VLOOKUP(D2386,'ENSAIOS DE ORÇAMENTO'!$C$3:$L$79,3,FALSE)</f>
        <v>1.6327799999999999</v>
      </c>
      <c r="H2390" s="663">
        <f>IF(F2390&lt;=30,(1.05*F2390+2.18)*G2390,((1.05*30+2.18)+0.87*(F2390-30))*G2390)</f>
        <v>54.992030399999997</v>
      </c>
      <c r="I2390" s="380"/>
      <c r="J2390" s="631"/>
      <c r="K2390" s="593">
        <f t="shared" si="702"/>
        <v>0</v>
      </c>
      <c r="L2390" s="594"/>
      <c r="M2390" s="600"/>
      <c r="N2390" s="600">
        <v>0</v>
      </c>
      <c r="O2390" s="287">
        <f t="shared" si="689"/>
        <v>0</v>
      </c>
      <c r="P2390" s="287">
        <f t="shared" si="690"/>
        <v>0</v>
      </c>
      <c r="Q2390" s="288"/>
      <c r="R2390" s="311" t="str">
        <f>IF(P2386&gt;0,"xy","")</f>
        <v/>
      </c>
      <c r="S2390" s="378" t="str">
        <f t="shared" si="699"/>
        <v/>
      </c>
    </row>
    <row r="2391" spans="2:19" hidden="1" x14ac:dyDescent="0.2">
      <c r="B2391" s="708" t="s">
        <v>168</v>
      </c>
      <c r="C2391" s="596"/>
      <c r="D2391" s="383" t="s">
        <v>403</v>
      </c>
      <c r="E2391" s="704"/>
      <c r="F2391" s="661">
        <v>500</v>
      </c>
      <c r="G2391" s="665">
        <f>VLOOKUP(D2386,'ENSAIOS DE ORÇAMENTO'!$C$3:$L$79,10,FALSE)</f>
        <v>5.4425999999999995E-2</v>
      </c>
      <c r="H2391" s="663">
        <f>IF(F2391&lt;=30,(1.05*F2391+2.18)*G2391,((1.05*30+2.18)+0.87*(F2391-30))*G2391)</f>
        <v>24.087859079999998</v>
      </c>
      <c r="I2391" s="380"/>
      <c r="J2391" s="631"/>
      <c r="K2391" s="593">
        <f t="shared" si="702"/>
        <v>0</v>
      </c>
      <c r="L2391" s="594"/>
      <c r="M2391" s="600"/>
      <c r="N2391" s="600">
        <v>0</v>
      </c>
      <c r="O2391" s="287">
        <f t="shared" si="689"/>
        <v>0</v>
      </c>
      <c r="P2391" s="287">
        <f t="shared" si="690"/>
        <v>0</v>
      </c>
      <c r="Q2391" s="288"/>
      <c r="R2391" s="311" t="str">
        <f>IF(P2386&gt;0,"xy","")</f>
        <v/>
      </c>
      <c r="S2391" s="378" t="str">
        <f t="shared" si="699"/>
        <v/>
      </c>
    </row>
    <row r="2392" spans="2:19" hidden="1" x14ac:dyDescent="0.2">
      <c r="B2392" s="708" t="s">
        <v>136</v>
      </c>
      <c r="C2392" s="596" t="s">
        <v>207</v>
      </c>
      <c r="D2392" s="383" t="s">
        <v>150</v>
      </c>
      <c r="E2392" s="704"/>
      <c r="F2392" s="661"/>
      <c r="G2392" s="665"/>
      <c r="H2392" s="664">
        <f>SUM(H2393:H2397)</f>
        <v>342.53270840000005</v>
      </c>
      <c r="I2392" s="380">
        <f>VLOOKUP(D2392,'ENSAIOS DE ORÇAMENTO'!$C$3:$L$79,8,FALSE)</f>
        <v>1476.2567999999999</v>
      </c>
      <c r="J2392" s="631">
        <f t="shared" ref="J2392" si="709">IF(ISBLANK(I2392),"",SUM(H2392:I2392))</f>
        <v>1818.7895083999999</v>
      </c>
      <c r="K2392" s="593">
        <f t="shared" si="702"/>
        <v>2305.3200000000002</v>
      </c>
      <c r="L2392" s="594" t="s">
        <v>21</v>
      </c>
      <c r="M2392" s="30"/>
      <c r="N2392" s="30">
        <v>2305.3200000000002</v>
      </c>
      <c r="O2392" s="287">
        <f t="shared" si="689"/>
        <v>0</v>
      </c>
      <c r="P2392" s="287">
        <f t="shared" si="690"/>
        <v>0</v>
      </c>
      <c r="Q2392" s="288"/>
      <c r="S2392" s="378" t="str">
        <f t="shared" si="699"/>
        <v/>
      </c>
    </row>
    <row r="2393" spans="2:19" hidden="1" x14ac:dyDescent="0.2">
      <c r="B2393" s="708" t="s">
        <v>168</v>
      </c>
      <c r="C2393" s="596"/>
      <c r="D2393" s="383" t="s">
        <v>213</v>
      </c>
      <c r="E2393" s="704"/>
      <c r="F2393" s="661">
        <v>500</v>
      </c>
      <c r="G2393" s="665">
        <f>VLOOKUP(D2392,'ENSAIOS DE ORÇAMENTO'!$C$3:$L$79,4,FALSE)</f>
        <v>0.38250000000000006</v>
      </c>
      <c r="H2393" s="664">
        <f>IF(F2393&lt;=30,(0.75*F2393+6.29)*G2393,((0.75*30+6.29)+0.62*(F2393-30))*G2393)</f>
        <v>122.47267500000002</v>
      </c>
      <c r="I2393" s="380"/>
      <c r="J2393" s="631"/>
      <c r="K2393" s="593">
        <f t="shared" si="702"/>
        <v>0</v>
      </c>
      <c r="L2393" s="594"/>
      <c r="M2393" s="600"/>
      <c r="N2393" s="600">
        <v>0</v>
      </c>
      <c r="O2393" s="287">
        <f t="shared" si="689"/>
        <v>0</v>
      </c>
      <c r="P2393" s="287">
        <f t="shared" si="690"/>
        <v>0</v>
      </c>
      <c r="Q2393" s="288"/>
      <c r="R2393" s="311" t="str">
        <f>IF(P2392&gt;0,"xy","")</f>
        <v/>
      </c>
      <c r="S2393" s="378" t="str">
        <f t="shared" si="699"/>
        <v/>
      </c>
    </row>
    <row r="2394" spans="2:19" hidden="1" x14ac:dyDescent="0.2">
      <c r="B2394" s="708" t="s">
        <v>168</v>
      </c>
      <c r="C2394" s="596"/>
      <c r="D2394" s="383" t="s">
        <v>249</v>
      </c>
      <c r="E2394" s="704"/>
      <c r="F2394" s="661">
        <v>180</v>
      </c>
      <c r="G2394" s="665">
        <f>VLOOKUP(D2392,'ENSAIOS DE ORÇAMENTO'!$C$3:$L$79,5,FALSE)</f>
        <v>1.1483800000000002</v>
      </c>
      <c r="H2394" s="663">
        <f t="shared" ref="H2394" si="710">IF(F2394&lt;=30,(1.05*F2394+2.18)*G2394,((1.05*30+2.18)+0.87*(F2394-30))*G2394)</f>
        <v>188.54102840000004</v>
      </c>
      <c r="I2394" s="380"/>
      <c r="J2394" s="631"/>
      <c r="K2394" s="593">
        <f t="shared" si="702"/>
        <v>0</v>
      </c>
      <c r="L2394" s="594"/>
      <c r="M2394" s="600"/>
      <c r="N2394" s="600">
        <v>0</v>
      </c>
      <c r="O2394" s="287">
        <f t="shared" si="689"/>
        <v>0</v>
      </c>
      <c r="P2394" s="287">
        <f t="shared" si="690"/>
        <v>0</v>
      </c>
      <c r="Q2394" s="288"/>
      <c r="R2394" s="311" t="str">
        <f>IF(P2392&gt;0,"xy","")</f>
        <v/>
      </c>
      <c r="S2394" s="378" t="str">
        <f t="shared" si="699"/>
        <v/>
      </c>
    </row>
    <row r="2395" spans="2:19" hidden="1" x14ac:dyDescent="0.2">
      <c r="B2395" s="708" t="s">
        <v>168</v>
      </c>
      <c r="C2395" s="596"/>
      <c r="D2395" s="383" t="s">
        <v>253</v>
      </c>
      <c r="E2395" s="704"/>
      <c r="F2395" s="661">
        <v>20</v>
      </c>
      <c r="G2395" s="665">
        <f>VLOOKUP(D2392,'ENSAIOS DE ORÇAMENTO'!$C$3:$L$79,6,FALSE)</f>
        <v>1.35975</v>
      </c>
      <c r="H2395" s="663">
        <f>IF(F2395&lt;=30,(1.05*F2395+2.18)*G2395,((1.05*30+2.18)+0.87*(F2395-30))*G2395)</f>
        <v>31.519005</v>
      </c>
      <c r="I2395" s="380"/>
      <c r="J2395" s="631"/>
      <c r="K2395" s="593">
        <f t="shared" si="702"/>
        <v>0</v>
      </c>
      <c r="L2395" s="594"/>
      <c r="M2395" s="600"/>
      <c r="N2395" s="600">
        <v>0</v>
      </c>
      <c r="O2395" s="287">
        <f t="shared" si="689"/>
        <v>0</v>
      </c>
      <c r="P2395" s="287">
        <f t="shared" si="690"/>
        <v>0</v>
      </c>
      <c r="Q2395" s="288"/>
      <c r="R2395" s="243" t="str">
        <f>IF(P2392&gt;0,"xy","")</f>
        <v/>
      </c>
      <c r="S2395" s="378" t="str">
        <f t="shared" si="699"/>
        <v/>
      </c>
    </row>
    <row r="2396" spans="2:19" hidden="1" x14ac:dyDescent="0.2">
      <c r="B2396" s="708" t="s">
        <v>168</v>
      </c>
      <c r="C2396" s="596"/>
      <c r="D2396" s="383" t="s">
        <v>402</v>
      </c>
      <c r="E2396" s="704"/>
      <c r="F2396" s="661">
        <v>30</v>
      </c>
      <c r="G2396" s="665">
        <f>VLOOKUP(D2392,'ENSAIOS DE ORÇAMENTO'!$C$3:$L$79,3,FALSE)</f>
        <v>0</v>
      </c>
      <c r="H2396" s="663">
        <f>IF(F2396&lt;=30,(1.05*F2396+2.18)*G2396,((1.05*30+2.18)+0.87*(F2396-30))*G2396)</f>
        <v>0</v>
      </c>
      <c r="I2396" s="380"/>
      <c r="J2396" s="631"/>
      <c r="K2396" s="593">
        <f t="shared" si="702"/>
        <v>0</v>
      </c>
      <c r="L2396" s="594"/>
      <c r="M2396" s="600"/>
      <c r="N2396" s="600">
        <v>0</v>
      </c>
      <c r="O2396" s="287">
        <f t="shared" si="689"/>
        <v>0</v>
      </c>
      <c r="P2396" s="287">
        <f t="shared" si="690"/>
        <v>0</v>
      </c>
      <c r="Q2396" s="288"/>
      <c r="R2396" s="311" t="str">
        <f>IF(P2392&gt;0,"xy","")</f>
        <v/>
      </c>
      <c r="S2396" s="378" t="str">
        <f t="shared" si="699"/>
        <v/>
      </c>
    </row>
    <row r="2397" spans="2:19" hidden="1" x14ac:dyDescent="0.2">
      <c r="B2397" s="708" t="s">
        <v>168</v>
      </c>
      <c r="C2397" s="596"/>
      <c r="D2397" s="383" t="s">
        <v>403</v>
      </c>
      <c r="E2397" s="704"/>
      <c r="F2397" s="661">
        <v>500</v>
      </c>
      <c r="G2397" s="665">
        <f>VLOOKUP(D2392,'ENSAIOS DE ORÇAMENTO'!$C$3:$L$79,10,FALSE)</f>
        <v>0</v>
      </c>
      <c r="H2397" s="663">
        <f>IF(F2397&lt;=30,(1.05*F2397+2.18)*G2397,((1.05*30+2.18)+0.87*(F2397-30))*G2397)</f>
        <v>0</v>
      </c>
      <c r="I2397" s="380"/>
      <c r="J2397" s="631"/>
      <c r="K2397" s="593">
        <f t="shared" si="702"/>
        <v>0</v>
      </c>
      <c r="L2397" s="594"/>
      <c r="M2397" s="600"/>
      <c r="N2397" s="600">
        <v>0</v>
      </c>
      <c r="O2397" s="287">
        <f t="shared" si="689"/>
        <v>0</v>
      </c>
      <c r="P2397" s="287">
        <f t="shared" si="690"/>
        <v>0</v>
      </c>
      <c r="Q2397" s="288"/>
      <c r="R2397" s="311" t="str">
        <f>IF(P2392&gt;0,"xy","")</f>
        <v/>
      </c>
      <c r="S2397" s="378" t="str">
        <f t="shared" si="699"/>
        <v/>
      </c>
    </row>
    <row r="2398" spans="2:19" hidden="1" x14ac:dyDescent="0.2">
      <c r="B2398" s="708" t="s">
        <v>137</v>
      </c>
      <c r="C2398" s="596" t="s">
        <v>207</v>
      </c>
      <c r="D2398" s="383" t="s">
        <v>151</v>
      </c>
      <c r="E2398" s="704"/>
      <c r="F2398" s="661"/>
      <c r="G2398" s="665"/>
      <c r="H2398" s="664">
        <f>SUM(H2399:H2403)</f>
        <v>384.92305040000002</v>
      </c>
      <c r="I2398" s="380">
        <f>VLOOKUP(D2398,'ENSAIOS DE ORÇAMENTO'!$C$3:$L$79,8,FALSE)</f>
        <v>1573.2592999999999</v>
      </c>
      <c r="J2398" s="631">
        <f t="shared" ref="J2398" si="711">IF(ISBLANK(I2398),"",SUM(H2398:I2398))</f>
        <v>1958.1823503999999</v>
      </c>
      <c r="K2398" s="593">
        <f t="shared" si="702"/>
        <v>2482</v>
      </c>
      <c r="L2398" s="594" t="s">
        <v>21</v>
      </c>
      <c r="M2398" s="30"/>
      <c r="N2398" s="30">
        <v>2482</v>
      </c>
      <c r="O2398" s="287">
        <f t="shared" si="689"/>
        <v>0</v>
      </c>
      <c r="P2398" s="287">
        <f t="shared" si="690"/>
        <v>0</v>
      </c>
      <c r="Q2398" s="288"/>
      <c r="S2398" s="378" t="str">
        <f t="shared" si="699"/>
        <v/>
      </c>
    </row>
    <row r="2399" spans="2:19" hidden="1" x14ac:dyDescent="0.2">
      <c r="B2399" s="708" t="s">
        <v>168</v>
      </c>
      <c r="C2399" s="596"/>
      <c r="D2399" s="383" t="s">
        <v>213</v>
      </c>
      <c r="E2399" s="704"/>
      <c r="F2399" s="661">
        <v>500</v>
      </c>
      <c r="G2399" s="665">
        <f>VLOOKUP(D2398,'ENSAIOS DE ORÇAMENTO'!$C$3:$L$79,4,FALSE)</f>
        <v>0.43200000000000005</v>
      </c>
      <c r="H2399" s="664">
        <f>IF(F2399&lt;=30,(0.75*F2399+6.29)*G2399,((0.75*30+6.29)+0.62*(F2399-30))*G2399)</f>
        <v>138.32208000000003</v>
      </c>
      <c r="I2399" s="380"/>
      <c r="J2399" s="631"/>
      <c r="K2399" s="593">
        <f t="shared" si="702"/>
        <v>0</v>
      </c>
      <c r="L2399" s="594"/>
      <c r="M2399" s="600"/>
      <c r="N2399" s="600">
        <v>0</v>
      </c>
      <c r="O2399" s="287">
        <f t="shared" si="689"/>
        <v>0</v>
      </c>
      <c r="P2399" s="287">
        <f t="shared" si="690"/>
        <v>0</v>
      </c>
      <c r="Q2399" s="288"/>
      <c r="R2399" s="311" t="str">
        <f>IF(P2398&gt;0,"xy","")</f>
        <v/>
      </c>
      <c r="S2399" s="378" t="str">
        <f t="shared" si="699"/>
        <v/>
      </c>
    </row>
    <row r="2400" spans="2:19" hidden="1" x14ac:dyDescent="0.2">
      <c r="B2400" s="708" t="s">
        <v>168</v>
      </c>
      <c r="C2400" s="596"/>
      <c r="D2400" s="383" t="s">
        <v>249</v>
      </c>
      <c r="E2400" s="704"/>
      <c r="F2400" s="661">
        <v>180</v>
      </c>
      <c r="G2400" s="665">
        <f>VLOOKUP(D2398,'ENSAIOS DE ORÇAMENTO'!$C$3:$L$79,5,FALSE)</f>
        <v>1.28653</v>
      </c>
      <c r="H2400" s="663">
        <f t="shared" ref="H2400" si="712">IF(F2400&lt;=30,(1.05*F2400+2.18)*G2400,((1.05*30+2.18)+0.87*(F2400-30))*G2400)</f>
        <v>211.22249540000001</v>
      </c>
      <c r="I2400" s="380"/>
      <c r="J2400" s="631"/>
      <c r="K2400" s="593">
        <f t="shared" si="702"/>
        <v>0</v>
      </c>
      <c r="L2400" s="594"/>
      <c r="M2400" s="600"/>
      <c r="N2400" s="600">
        <v>0</v>
      </c>
      <c r="O2400" s="287">
        <f t="shared" si="689"/>
        <v>0</v>
      </c>
      <c r="P2400" s="287">
        <f t="shared" si="690"/>
        <v>0</v>
      </c>
      <c r="Q2400" s="288"/>
      <c r="R2400" s="311" t="str">
        <f>IF(P2398&gt;0,"xy","")</f>
        <v/>
      </c>
      <c r="S2400" s="378" t="str">
        <f t="shared" si="699"/>
        <v/>
      </c>
    </row>
    <row r="2401" spans="2:19" hidden="1" x14ac:dyDescent="0.2">
      <c r="B2401" s="708" t="s">
        <v>168</v>
      </c>
      <c r="C2401" s="596"/>
      <c r="D2401" s="383" t="s">
        <v>253</v>
      </c>
      <c r="E2401" s="704"/>
      <c r="F2401" s="661">
        <v>20</v>
      </c>
      <c r="G2401" s="665">
        <f>VLOOKUP(D2398,'ENSAIOS DE ORÇAMENTO'!$C$3:$L$79,6,FALSE)</f>
        <v>1.5262500000000001</v>
      </c>
      <c r="H2401" s="663">
        <f>IF(F2401&lt;=30,(1.05*F2401+2.18)*G2401,((1.05*30+2.18)+0.87*(F2401-30))*G2401)</f>
        <v>35.378475000000002</v>
      </c>
      <c r="I2401" s="380"/>
      <c r="J2401" s="631"/>
      <c r="K2401" s="593">
        <f t="shared" si="702"/>
        <v>0</v>
      </c>
      <c r="L2401" s="594"/>
      <c r="M2401" s="600"/>
      <c r="N2401" s="600">
        <v>0</v>
      </c>
      <c r="O2401" s="287">
        <f t="shared" si="689"/>
        <v>0</v>
      </c>
      <c r="P2401" s="287">
        <f t="shared" si="690"/>
        <v>0</v>
      </c>
      <c r="Q2401" s="288"/>
      <c r="R2401" s="243" t="str">
        <f>IF(P2398&gt;0,"xy","")</f>
        <v/>
      </c>
      <c r="S2401" s="378" t="str">
        <f t="shared" si="699"/>
        <v/>
      </c>
    </row>
    <row r="2402" spans="2:19" hidden="1" x14ac:dyDescent="0.2">
      <c r="B2402" s="708" t="s">
        <v>168</v>
      </c>
      <c r="C2402" s="596"/>
      <c r="D2402" s="383" t="s">
        <v>402</v>
      </c>
      <c r="E2402" s="704"/>
      <c r="F2402" s="661">
        <v>30</v>
      </c>
      <c r="G2402" s="665">
        <f>VLOOKUP(D2398,'ENSAIOS DE ORÇAMENTO'!$C$3:$L$79,3,FALSE)</f>
        <v>0</v>
      </c>
      <c r="H2402" s="663">
        <f>IF(F2402&lt;=30,(1.05*F2402+2.18)*G2402,((1.05*30+2.18)+0.87*(F2402-30))*G2402)</f>
        <v>0</v>
      </c>
      <c r="I2402" s="380"/>
      <c r="J2402" s="631"/>
      <c r="K2402" s="593">
        <f t="shared" si="702"/>
        <v>0</v>
      </c>
      <c r="L2402" s="594"/>
      <c r="M2402" s="600"/>
      <c r="N2402" s="600">
        <v>0</v>
      </c>
      <c r="O2402" s="287">
        <f t="shared" si="689"/>
        <v>0</v>
      </c>
      <c r="P2402" s="287">
        <f t="shared" si="690"/>
        <v>0</v>
      </c>
      <c r="Q2402" s="288"/>
      <c r="R2402" s="311" t="str">
        <f>IF(P2398&gt;0,"xy","")</f>
        <v/>
      </c>
      <c r="S2402" s="378" t="str">
        <f t="shared" si="699"/>
        <v/>
      </c>
    </row>
    <row r="2403" spans="2:19" hidden="1" x14ac:dyDescent="0.2">
      <c r="B2403" s="708" t="s">
        <v>168</v>
      </c>
      <c r="C2403" s="596"/>
      <c r="D2403" s="383" t="s">
        <v>403</v>
      </c>
      <c r="E2403" s="704"/>
      <c r="F2403" s="661">
        <v>500</v>
      </c>
      <c r="G2403" s="665">
        <f>VLOOKUP(D2398,'ENSAIOS DE ORÇAMENTO'!$C$3:$L$79,10,FALSE)</f>
        <v>0</v>
      </c>
      <c r="H2403" s="663">
        <f>IF(F2403&lt;=30,(1.05*F2403+2.18)*G2403,((1.05*30+2.18)+0.87*(F2403-30))*G2403)</f>
        <v>0</v>
      </c>
      <c r="I2403" s="380"/>
      <c r="J2403" s="631"/>
      <c r="K2403" s="593">
        <f t="shared" si="702"/>
        <v>0</v>
      </c>
      <c r="L2403" s="594"/>
      <c r="M2403" s="600"/>
      <c r="N2403" s="600">
        <v>0</v>
      </c>
      <c r="O2403" s="287">
        <f t="shared" si="689"/>
        <v>0</v>
      </c>
      <c r="P2403" s="287">
        <f t="shared" si="690"/>
        <v>0</v>
      </c>
      <c r="Q2403" s="288"/>
      <c r="R2403" s="311" t="str">
        <f>IF(P2398&gt;0,"xy","")</f>
        <v/>
      </c>
      <c r="S2403" s="378" t="str">
        <f t="shared" si="699"/>
        <v/>
      </c>
    </row>
    <row r="2404" spans="2:19" hidden="1" x14ac:dyDescent="0.2">
      <c r="B2404" s="708" t="s">
        <v>138</v>
      </c>
      <c r="C2404" s="596" t="s">
        <v>207</v>
      </c>
      <c r="D2404" s="383" t="s">
        <v>152</v>
      </c>
      <c r="E2404" s="704"/>
      <c r="F2404" s="661"/>
      <c r="G2404" s="665"/>
      <c r="H2404" s="664">
        <f>SUM(H2405:H2409)</f>
        <v>447.095552</v>
      </c>
      <c r="I2404" s="380">
        <f>VLOOKUP(D2404,'ENSAIOS DE ORÇAMENTO'!$C$3:$L$79,8,FALSE)</f>
        <v>1716.47605</v>
      </c>
      <c r="J2404" s="631">
        <f t="shared" ref="J2404" si="713">IF(ISBLANK(I2404),"",SUM(H2404:I2404))</f>
        <v>2163.571602</v>
      </c>
      <c r="K2404" s="593">
        <f t="shared" si="702"/>
        <v>2742.33</v>
      </c>
      <c r="L2404" s="594" t="s">
        <v>21</v>
      </c>
      <c r="M2404" s="30"/>
      <c r="N2404" s="30">
        <v>2742.33</v>
      </c>
      <c r="O2404" s="287">
        <f t="shared" si="689"/>
        <v>0</v>
      </c>
      <c r="P2404" s="287">
        <f t="shared" si="690"/>
        <v>0</v>
      </c>
      <c r="Q2404" s="288"/>
      <c r="S2404" s="378" t="str">
        <f t="shared" si="699"/>
        <v/>
      </c>
    </row>
    <row r="2405" spans="2:19" hidden="1" x14ac:dyDescent="0.2">
      <c r="B2405" s="708" t="s">
        <v>168</v>
      </c>
      <c r="C2405" s="596"/>
      <c r="D2405" s="383" t="s">
        <v>213</v>
      </c>
      <c r="E2405" s="704"/>
      <c r="F2405" s="661">
        <v>500</v>
      </c>
      <c r="G2405" s="665">
        <f>VLOOKUP(D2404,'ENSAIOS DE ORÇAMENTO'!$C$3:$L$79,4,FALSE)</f>
        <v>0.50459999999999994</v>
      </c>
      <c r="H2405" s="664">
        <f>IF(F2405&lt;=30,(0.75*F2405+6.29)*G2405,((0.75*30+6.29)+0.62*(F2405-30))*G2405)</f>
        <v>161.56787399999999</v>
      </c>
      <c r="I2405" s="380"/>
      <c r="J2405" s="631"/>
      <c r="K2405" s="593">
        <f t="shared" si="702"/>
        <v>0</v>
      </c>
      <c r="L2405" s="594"/>
      <c r="M2405" s="600"/>
      <c r="N2405" s="600">
        <v>0</v>
      </c>
      <c r="O2405" s="287">
        <f t="shared" si="689"/>
        <v>0</v>
      </c>
      <c r="P2405" s="287">
        <f t="shared" si="690"/>
        <v>0</v>
      </c>
      <c r="Q2405" s="288"/>
      <c r="R2405" s="311" t="str">
        <f>IF(P2404&gt;0,"xy","")</f>
        <v/>
      </c>
      <c r="S2405" s="378" t="str">
        <f t="shared" si="699"/>
        <v/>
      </c>
    </row>
    <row r="2406" spans="2:19" hidden="1" x14ac:dyDescent="0.2">
      <c r="B2406" s="708" t="s">
        <v>168</v>
      </c>
      <c r="C2406" s="596"/>
      <c r="D2406" s="383" t="s">
        <v>249</v>
      </c>
      <c r="E2406" s="704"/>
      <c r="F2406" s="661">
        <v>180</v>
      </c>
      <c r="G2406" s="665">
        <f>VLOOKUP(D2404,'ENSAIOS DE ORÇAMENTO'!$C$3:$L$79,5,FALSE)</f>
        <v>1.48915</v>
      </c>
      <c r="H2406" s="663">
        <f t="shared" ref="H2406" si="714">IF(F2406&lt;=30,(1.05*F2406+2.18)*G2406,((1.05*30+2.18)+0.87*(F2406-30))*G2406)</f>
        <v>244.48864700000001</v>
      </c>
      <c r="I2406" s="380"/>
      <c r="J2406" s="631"/>
      <c r="K2406" s="593">
        <f t="shared" si="702"/>
        <v>0</v>
      </c>
      <c r="L2406" s="594"/>
      <c r="M2406" s="600"/>
      <c r="N2406" s="600">
        <v>0</v>
      </c>
      <c r="O2406" s="287">
        <f t="shared" si="689"/>
        <v>0</v>
      </c>
      <c r="P2406" s="287">
        <f t="shared" si="690"/>
        <v>0</v>
      </c>
      <c r="Q2406" s="288"/>
      <c r="R2406" s="311" t="str">
        <f>IF(P2404&gt;0,"xy","")</f>
        <v/>
      </c>
      <c r="S2406" s="378" t="str">
        <f t="shared" si="699"/>
        <v/>
      </c>
    </row>
    <row r="2407" spans="2:19" hidden="1" x14ac:dyDescent="0.2">
      <c r="B2407" s="708" t="s">
        <v>168</v>
      </c>
      <c r="C2407" s="596"/>
      <c r="D2407" s="383" t="s">
        <v>253</v>
      </c>
      <c r="E2407" s="704"/>
      <c r="F2407" s="661">
        <v>20</v>
      </c>
      <c r="G2407" s="665">
        <f>VLOOKUP(D2404,'ENSAIOS DE ORÇAMENTO'!$C$3:$L$79,6,FALSE)</f>
        <v>1.7704500000000001</v>
      </c>
      <c r="H2407" s="663">
        <f>IF(F2407&lt;=30,(1.05*F2407+2.18)*G2407,((1.05*30+2.18)+0.87*(F2407-30))*G2407)</f>
        <v>41.039031000000001</v>
      </c>
      <c r="I2407" s="380"/>
      <c r="J2407" s="631"/>
      <c r="K2407" s="593">
        <f t="shared" si="702"/>
        <v>0</v>
      </c>
      <c r="L2407" s="594"/>
      <c r="M2407" s="600"/>
      <c r="N2407" s="600">
        <v>0</v>
      </c>
      <c r="O2407" s="287">
        <f t="shared" ref="O2407:O2470" si="715">IF(ISBLANK(M2407),0,ROUND(K2407*M2407,2))</f>
        <v>0</v>
      </c>
      <c r="P2407" s="287">
        <f t="shared" ref="P2407:P2470" si="716">IF(ISBLANK(N2407),0,ROUND(M2407*N2407,2))</f>
        <v>0</v>
      </c>
      <c r="Q2407" s="288"/>
      <c r="R2407" s="243" t="str">
        <f>IF(P2404&gt;0,"xy","")</f>
        <v/>
      </c>
      <c r="S2407" s="378" t="str">
        <f t="shared" si="699"/>
        <v/>
      </c>
    </row>
    <row r="2408" spans="2:19" hidden="1" x14ac:dyDescent="0.2">
      <c r="B2408" s="708" t="s">
        <v>168</v>
      </c>
      <c r="C2408" s="596"/>
      <c r="D2408" s="383" t="s">
        <v>402</v>
      </c>
      <c r="E2408" s="704"/>
      <c r="F2408" s="661">
        <v>30</v>
      </c>
      <c r="G2408" s="665">
        <f>VLOOKUP(D2404,'ENSAIOS DE ORÇAMENTO'!$C$3:$L$79,3,FALSE)</f>
        <v>0</v>
      </c>
      <c r="H2408" s="663">
        <f>IF(F2408&lt;=30,(1.05*F2408+2.18)*G2408,((1.05*30+2.18)+0.87*(F2408-30))*G2408)</f>
        <v>0</v>
      </c>
      <c r="I2408" s="380"/>
      <c r="J2408" s="631"/>
      <c r="K2408" s="593">
        <f t="shared" si="702"/>
        <v>0</v>
      </c>
      <c r="L2408" s="594"/>
      <c r="M2408" s="600"/>
      <c r="N2408" s="600">
        <v>0</v>
      </c>
      <c r="O2408" s="287">
        <f t="shared" si="715"/>
        <v>0</v>
      </c>
      <c r="P2408" s="287">
        <f t="shared" si="716"/>
        <v>0</v>
      </c>
      <c r="Q2408" s="288"/>
      <c r="R2408" s="311" t="str">
        <f>IF(P2404&gt;0,"xy","")</f>
        <v/>
      </c>
      <c r="S2408" s="378" t="str">
        <f t="shared" si="699"/>
        <v/>
      </c>
    </row>
    <row r="2409" spans="2:19" hidden="1" x14ac:dyDescent="0.2">
      <c r="B2409" s="708" t="s">
        <v>168</v>
      </c>
      <c r="C2409" s="596"/>
      <c r="D2409" s="383" t="s">
        <v>403</v>
      </c>
      <c r="E2409" s="704"/>
      <c r="F2409" s="661">
        <v>500</v>
      </c>
      <c r="G2409" s="665">
        <f>VLOOKUP(D2404,'ENSAIOS DE ORÇAMENTO'!$C$3:$L$79,10,FALSE)</f>
        <v>0</v>
      </c>
      <c r="H2409" s="663">
        <f>IF(F2409&lt;=30,(1.05*F2409+2.18)*G2409,((1.05*30+2.18)+0.87*(F2409-30))*G2409)</f>
        <v>0</v>
      </c>
      <c r="I2409" s="380"/>
      <c r="J2409" s="631"/>
      <c r="K2409" s="593">
        <f t="shared" si="702"/>
        <v>0</v>
      </c>
      <c r="L2409" s="594"/>
      <c r="M2409" s="600"/>
      <c r="N2409" s="600">
        <v>0</v>
      </c>
      <c r="O2409" s="287">
        <f t="shared" si="715"/>
        <v>0</v>
      </c>
      <c r="P2409" s="287">
        <f t="shared" si="716"/>
        <v>0</v>
      </c>
      <c r="Q2409" s="288"/>
      <c r="R2409" s="311" t="str">
        <f>IF(P2404&gt;0,"xy","")</f>
        <v/>
      </c>
      <c r="S2409" s="378" t="str">
        <f t="shared" si="699"/>
        <v/>
      </c>
    </row>
    <row r="2410" spans="2:19" hidden="1" x14ac:dyDescent="0.2">
      <c r="B2410" s="708" t="s">
        <v>139</v>
      </c>
      <c r="C2410" s="596" t="s">
        <v>207</v>
      </c>
      <c r="D2410" s="383" t="s">
        <v>153</v>
      </c>
      <c r="E2410" s="704"/>
      <c r="F2410" s="661"/>
      <c r="G2410" s="665"/>
      <c r="H2410" s="664">
        <f>SUM(H2411:H2415)</f>
        <v>566.57133400000009</v>
      </c>
      <c r="I2410" s="380">
        <f>VLOOKUP(D2410,'ENSAIOS DE ORÇAMENTO'!$C$3:$L$79,8,FALSE)</f>
        <v>1931.8323</v>
      </c>
      <c r="J2410" s="631">
        <f t="shared" ref="J2410" si="717">IF(ISBLANK(I2410),"",SUM(H2410:I2410))</f>
        <v>2498.4036340000002</v>
      </c>
      <c r="K2410" s="593">
        <f t="shared" si="702"/>
        <v>3166.73</v>
      </c>
      <c r="L2410" s="594" t="s">
        <v>21</v>
      </c>
      <c r="M2410" s="30"/>
      <c r="N2410" s="30">
        <v>3166.73</v>
      </c>
      <c r="O2410" s="287">
        <f t="shared" si="715"/>
        <v>0</v>
      </c>
      <c r="P2410" s="287">
        <f t="shared" si="716"/>
        <v>0</v>
      </c>
      <c r="Q2410" s="288"/>
      <c r="S2410" s="378" t="str">
        <f t="shared" si="699"/>
        <v/>
      </c>
    </row>
    <row r="2411" spans="2:19" hidden="1" x14ac:dyDescent="0.2">
      <c r="B2411" s="708" t="s">
        <v>168</v>
      </c>
      <c r="C2411" s="596"/>
      <c r="D2411" s="383" t="s">
        <v>213</v>
      </c>
      <c r="E2411" s="704"/>
      <c r="F2411" s="661">
        <v>500</v>
      </c>
      <c r="G2411" s="665">
        <f>VLOOKUP(D2410,'ENSAIOS DE ORÇAMENTO'!$C$3:$L$79,4,FALSE)</f>
        <v>0.6411</v>
      </c>
      <c r="H2411" s="664">
        <f>IF(F2411&lt;=30,(0.75*F2411+6.29)*G2411,((0.75*30+6.29)+0.62*(F2411-30))*G2411)</f>
        <v>205.273809</v>
      </c>
      <c r="I2411" s="380"/>
      <c r="J2411" s="631"/>
      <c r="K2411" s="593">
        <f t="shared" si="702"/>
        <v>0</v>
      </c>
      <c r="L2411" s="594"/>
      <c r="M2411" s="600"/>
      <c r="N2411" s="600">
        <v>0</v>
      </c>
      <c r="O2411" s="287">
        <f t="shared" si="715"/>
        <v>0</v>
      </c>
      <c r="P2411" s="287">
        <f t="shared" si="716"/>
        <v>0</v>
      </c>
      <c r="Q2411" s="288"/>
      <c r="R2411" s="311" t="str">
        <f>IF(P2410&gt;0,"xy","")</f>
        <v/>
      </c>
      <c r="S2411" s="378" t="str">
        <f t="shared" si="699"/>
        <v/>
      </c>
    </row>
    <row r="2412" spans="2:19" hidden="1" x14ac:dyDescent="0.2">
      <c r="B2412" s="708" t="s">
        <v>168</v>
      </c>
      <c r="C2412" s="596"/>
      <c r="D2412" s="383" t="s">
        <v>249</v>
      </c>
      <c r="E2412" s="704"/>
      <c r="F2412" s="661">
        <v>180</v>
      </c>
      <c r="G2412" s="665">
        <f>VLOOKUP(D2410,'ENSAIOS DE ORÇAMENTO'!$C$3:$L$79,5,FALSE)</f>
        <v>1.8840500000000002</v>
      </c>
      <c r="H2412" s="663">
        <f t="shared" ref="H2412" si="718">IF(F2412&lt;=30,(1.05*F2412+2.18)*G2412,((1.05*30+2.18)+0.87*(F2412-30))*G2412)</f>
        <v>309.32332900000006</v>
      </c>
      <c r="I2412" s="380"/>
      <c r="J2412" s="631"/>
      <c r="K2412" s="593">
        <f t="shared" si="702"/>
        <v>0</v>
      </c>
      <c r="L2412" s="594"/>
      <c r="M2412" s="600"/>
      <c r="N2412" s="600">
        <v>0</v>
      </c>
      <c r="O2412" s="287">
        <f t="shared" si="715"/>
        <v>0</v>
      </c>
      <c r="P2412" s="287">
        <f t="shared" si="716"/>
        <v>0</v>
      </c>
      <c r="Q2412" s="288"/>
      <c r="R2412" s="311" t="str">
        <f>IF(P2410&gt;0,"xy","")</f>
        <v/>
      </c>
      <c r="S2412" s="378" t="str">
        <f t="shared" si="699"/>
        <v/>
      </c>
    </row>
    <row r="2413" spans="2:19" hidden="1" x14ac:dyDescent="0.2">
      <c r="B2413" s="708" t="s">
        <v>168</v>
      </c>
      <c r="C2413" s="596"/>
      <c r="D2413" s="383" t="s">
        <v>253</v>
      </c>
      <c r="E2413" s="704"/>
      <c r="F2413" s="661">
        <v>20</v>
      </c>
      <c r="G2413" s="665">
        <f>VLOOKUP(D2410,'ENSAIOS DE ORÇAMENTO'!$C$3:$L$79,6,FALSE)</f>
        <v>2.2422</v>
      </c>
      <c r="H2413" s="663">
        <f>IF(F2413&lt;=30,(1.05*F2413+2.18)*G2413,((1.05*30+2.18)+0.87*(F2413-30))*G2413)</f>
        <v>51.974195999999999</v>
      </c>
      <c r="I2413" s="380"/>
      <c r="J2413" s="631"/>
      <c r="K2413" s="593">
        <f t="shared" si="702"/>
        <v>0</v>
      </c>
      <c r="L2413" s="594"/>
      <c r="M2413" s="600"/>
      <c r="N2413" s="600">
        <v>0</v>
      </c>
      <c r="O2413" s="287">
        <f t="shared" si="715"/>
        <v>0</v>
      </c>
      <c r="P2413" s="287">
        <f t="shared" si="716"/>
        <v>0</v>
      </c>
      <c r="Q2413" s="288"/>
      <c r="R2413" s="243" t="str">
        <f>IF(P2410&gt;0,"xy","")</f>
        <v/>
      </c>
      <c r="S2413" s="378" t="str">
        <f t="shared" si="699"/>
        <v/>
      </c>
    </row>
    <row r="2414" spans="2:19" hidden="1" x14ac:dyDescent="0.2">
      <c r="B2414" s="708" t="s">
        <v>168</v>
      </c>
      <c r="C2414" s="596"/>
      <c r="D2414" s="383" t="s">
        <v>402</v>
      </c>
      <c r="E2414" s="704"/>
      <c r="F2414" s="661">
        <v>30</v>
      </c>
      <c r="G2414" s="665">
        <f>VLOOKUP(D2410,'ENSAIOS DE ORÇAMENTO'!$C$3:$L$79,3,FALSE)</f>
        <v>0</v>
      </c>
      <c r="H2414" s="663">
        <f>IF(F2414&lt;=30,(1.05*F2414+2.18)*G2414,((1.05*30+2.18)+0.87*(F2414-30))*G2414)</f>
        <v>0</v>
      </c>
      <c r="I2414" s="380"/>
      <c r="J2414" s="631"/>
      <c r="K2414" s="593">
        <f t="shared" si="702"/>
        <v>0</v>
      </c>
      <c r="L2414" s="594"/>
      <c r="M2414" s="600"/>
      <c r="N2414" s="600">
        <v>0</v>
      </c>
      <c r="O2414" s="287">
        <f t="shared" si="715"/>
        <v>0</v>
      </c>
      <c r="P2414" s="287">
        <f t="shared" si="716"/>
        <v>0</v>
      </c>
      <c r="Q2414" s="288"/>
      <c r="R2414" s="311" t="str">
        <f>IF(P2410&gt;0,"xy","")</f>
        <v/>
      </c>
      <c r="S2414" s="378" t="str">
        <f t="shared" si="699"/>
        <v/>
      </c>
    </row>
    <row r="2415" spans="2:19" hidden="1" x14ac:dyDescent="0.2">
      <c r="B2415" s="708" t="s">
        <v>168</v>
      </c>
      <c r="C2415" s="596"/>
      <c r="D2415" s="383" t="s">
        <v>403</v>
      </c>
      <c r="E2415" s="704"/>
      <c r="F2415" s="661">
        <v>500</v>
      </c>
      <c r="G2415" s="665">
        <f>VLOOKUP(D2410,'ENSAIOS DE ORÇAMENTO'!$C$3:$L$79,10,FALSE)</f>
        <v>0</v>
      </c>
      <c r="H2415" s="663">
        <f>IF(F2415&lt;=30,(1.05*F2415+2.18)*G2415,((1.05*30+2.18)+0.87*(F2415-30))*G2415)</f>
        <v>0</v>
      </c>
      <c r="I2415" s="380"/>
      <c r="J2415" s="631"/>
      <c r="K2415" s="593">
        <f t="shared" si="702"/>
        <v>0</v>
      </c>
      <c r="L2415" s="594"/>
      <c r="M2415" s="600"/>
      <c r="N2415" s="600">
        <v>0</v>
      </c>
      <c r="O2415" s="287">
        <f t="shared" si="715"/>
        <v>0</v>
      </c>
      <c r="P2415" s="287">
        <f t="shared" si="716"/>
        <v>0</v>
      </c>
      <c r="Q2415" s="288"/>
      <c r="R2415" s="311" t="str">
        <f>IF(P2410&gt;0,"xy","")</f>
        <v/>
      </c>
      <c r="S2415" s="378" t="str">
        <f t="shared" si="699"/>
        <v/>
      </c>
    </row>
    <row r="2416" spans="2:19" hidden="1" x14ac:dyDescent="0.2">
      <c r="B2416" s="708" t="s">
        <v>140</v>
      </c>
      <c r="C2416" s="596" t="s">
        <v>207</v>
      </c>
      <c r="D2416" s="383" t="s">
        <v>154</v>
      </c>
      <c r="E2416" s="704"/>
      <c r="F2416" s="661"/>
      <c r="G2416" s="665"/>
      <c r="H2416" s="664">
        <f>SUM(H2417:H2421)</f>
        <v>710.45174199999997</v>
      </c>
      <c r="I2416" s="380">
        <f>VLOOKUP(D2416,'ENSAIOS DE ORÇAMENTO'!$C$3:$L$79,8,FALSE)</f>
        <v>2185.6696899999997</v>
      </c>
      <c r="J2416" s="631">
        <f t="shared" ref="J2416" si="719">IF(ISBLANK(I2416),"",SUM(H2416:I2416))</f>
        <v>2896.1214319999999</v>
      </c>
      <c r="K2416" s="593">
        <f t="shared" si="702"/>
        <v>3670.83</v>
      </c>
      <c r="L2416" s="594" t="s">
        <v>21</v>
      </c>
      <c r="M2416" s="30"/>
      <c r="N2416" s="30">
        <v>3670.83</v>
      </c>
      <c r="O2416" s="287">
        <f t="shared" si="715"/>
        <v>0</v>
      </c>
      <c r="P2416" s="287">
        <f t="shared" si="716"/>
        <v>0</v>
      </c>
      <c r="Q2416" s="288"/>
      <c r="S2416" s="378" t="str">
        <f t="shared" si="699"/>
        <v/>
      </c>
    </row>
    <row r="2417" spans="2:19" hidden="1" x14ac:dyDescent="0.2">
      <c r="B2417" s="708" t="s">
        <v>168</v>
      </c>
      <c r="C2417" s="596"/>
      <c r="D2417" s="383" t="s">
        <v>213</v>
      </c>
      <c r="E2417" s="704"/>
      <c r="F2417" s="661">
        <v>500</v>
      </c>
      <c r="G2417" s="665">
        <f>VLOOKUP(D2416,'ENSAIOS DE ORÇAMENTO'!$C$3:$L$79,4,FALSE)</f>
        <v>0.80657999999999996</v>
      </c>
      <c r="H2417" s="664">
        <f>IF(F2417&lt;=30,(0.75*F2417+6.29)*G2417,((0.75*30+6.29)+0.62*(F2417-30))*G2417)</f>
        <v>258.25885019999998</v>
      </c>
      <c r="I2417" s="380"/>
      <c r="J2417" s="631"/>
      <c r="K2417" s="593">
        <f t="shared" si="702"/>
        <v>0</v>
      </c>
      <c r="L2417" s="594"/>
      <c r="M2417" s="600"/>
      <c r="N2417" s="600">
        <v>0</v>
      </c>
      <c r="O2417" s="287">
        <f t="shared" si="715"/>
        <v>0</v>
      </c>
      <c r="P2417" s="287">
        <f t="shared" si="716"/>
        <v>0</v>
      </c>
      <c r="Q2417" s="288"/>
      <c r="R2417" s="311" t="str">
        <f>IF(P2416&gt;0,"xy","")</f>
        <v/>
      </c>
      <c r="S2417" s="378" t="str">
        <f t="shared" si="699"/>
        <v/>
      </c>
    </row>
    <row r="2418" spans="2:19" hidden="1" x14ac:dyDescent="0.2">
      <c r="B2418" s="708" t="s">
        <v>168</v>
      </c>
      <c r="C2418" s="596"/>
      <c r="D2418" s="383" t="s">
        <v>249</v>
      </c>
      <c r="E2418" s="704"/>
      <c r="F2418" s="661">
        <v>180</v>
      </c>
      <c r="G2418" s="665">
        <f>VLOOKUP(D2416,'ENSAIOS DE ORÇAMENTO'!$C$3:$L$79,5,FALSE)</f>
        <v>2.3575999999999997</v>
      </c>
      <c r="H2418" s="663">
        <f t="shared" ref="H2418" si="720">IF(F2418&lt;=30,(1.05*F2418+2.18)*G2418,((1.05*30+2.18)+0.87*(F2418-30))*G2418)</f>
        <v>387.07076799999999</v>
      </c>
      <c r="I2418" s="380"/>
      <c r="J2418" s="631"/>
      <c r="K2418" s="593">
        <f t="shared" si="702"/>
        <v>0</v>
      </c>
      <c r="L2418" s="594"/>
      <c r="M2418" s="600"/>
      <c r="N2418" s="600">
        <v>0</v>
      </c>
      <c r="O2418" s="287">
        <f t="shared" si="715"/>
        <v>0</v>
      </c>
      <c r="P2418" s="287">
        <f t="shared" si="716"/>
        <v>0</v>
      </c>
      <c r="Q2418" s="288"/>
      <c r="R2418" s="311" t="str">
        <f>IF(P2416&gt;0,"xy","")</f>
        <v/>
      </c>
      <c r="S2418" s="378" t="str">
        <f t="shared" si="699"/>
        <v/>
      </c>
    </row>
    <row r="2419" spans="2:19" hidden="1" x14ac:dyDescent="0.2">
      <c r="B2419" s="708" t="s">
        <v>168</v>
      </c>
      <c r="C2419" s="596"/>
      <c r="D2419" s="383" t="s">
        <v>253</v>
      </c>
      <c r="E2419" s="704"/>
      <c r="F2419" s="661">
        <v>20</v>
      </c>
      <c r="G2419" s="665">
        <f>VLOOKUP(D2416,'ENSAIOS DE ORÇAMENTO'!$C$3:$L$79,6,FALSE)</f>
        <v>2.8094099999999997</v>
      </c>
      <c r="H2419" s="663">
        <f>IF(F2419&lt;=30,(1.05*F2419+2.18)*G2419,((1.05*30+2.18)+0.87*(F2419-30))*G2419)</f>
        <v>65.122123799999997</v>
      </c>
      <c r="I2419" s="380"/>
      <c r="J2419" s="631"/>
      <c r="K2419" s="593">
        <f t="shared" si="702"/>
        <v>0</v>
      </c>
      <c r="L2419" s="594"/>
      <c r="M2419" s="600"/>
      <c r="N2419" s="600">
        <v>0</v>
      </c>
      <c r="O2419" s="287">
        <f t="shared" si="715"/>
        <v>0</v>
      </c>
      <c r="P2419" s="287">
        <f t="shared" si="716"/>
        <v>0</v>
      </c>
      <c r="Q2419" s="288"/>
      <c r="R2419" s="243" t="str">
        <f>IF(P2416&gt;0,"xy","")</f>
        <v/>
      </c>
      <c r="S2419" s="378" t="str">
        <f t="shared" si="699"/>
        <v/>
      </c>
    </row>
    <row r="2420" spans="2:19" hidden="1" x14ac:dyDescent="0.2">
      <c r="B2420" s="708" t="s">
        <v>168</v>
      </c>
      <c r="C2420" s="596"/>
      <c r="D2420" s="383" t="s">
        <v>402</v>
      </c>
      <c r="E2420" s="704"/>
      <c r="F2420" s="661">
        <v>30</v>
      </c>
      <c r="G2420" s="665">
        <f>VLOOKUP(D2416,'ENSAIOS DE ORÇAMENTO'!$C$3:$L$79,3,FALSE)</f>
        <v>0</v>
      </c>
      <c r="H2420" s="663">
        <f>IF(F2420&lt;=30,(1.05*F2420+2.18)*G2420,((1.05*30+2.18)+0.87*(F2420-30))*G2420)</f>
        <v>0</v>
      </c>
      <c r="I2420" s="380"/>
      <c r="J2420" s="631"/>
      <c r="K2420" s="593">
        <f t="shared" si="702"/>
        <v>0</v>
      </c>
      <c r="L2420" s="594"/>
      <c r="M2420" s="600"/>
      <c r="N2420" s="600">
        <v>0</v>
      </c>
      <c r="O2420" s="287">
        <f t="shared" si="715"/>
        <v>0</v>
      </c>
      <c r="P2420" s="287">
        <f t="shared" si="716"/>
        <v>0</v>
      </c>
      <c r="Q2420" s="288"/>
      <c r="R2420" s="311" t="str">
        <f>IF(P2416&gt;0,"xy","")</f>
        <v/>
      </c>
      <c r="S2420" s="378" t="str">
        <f t="shared" si="699"/>
        <v/>
      </c>
    </row>
    <row r="2421" spans="2:19" hidden="1" x14ac:dyDescent="0.2">
      <c r="B2421" s="708" t="s">
        <v>168</v>
      </c>
      <c r="C2421" s="596"/>
      <c r="D2421" s="383" t="s">
        <v>403</v>
      </c>
      <c r="E2421" s="704"/>
      <c r="F2421" s="661">
        <v>500</v>
      </c>
      <c r="G2421" s="665">
        <f>VLOOKUP(D2416,'ENSAIOS DE ORÇAMENTO'!$C$3:$L$79,10,FALSE)</f>
        <v>0</v>
      </c>
      <c r="H2421" s="663">
        <f>IF(F2421&lt;=30,(1.05*F2421+2.18)*G2421,((1.05*30+2.18)+0.87*(F2421-30))*G2421)</f>
        <v>0</v>
      </c>
      <c r="I2421" s="380"/>
      <c r="J2421" s="631"/>
      <c r="K2421" s="593">
        <f t="shared" si="702"/>
        <v>0</v>
      </c>
      <c r="L2421" s="594"/>
      <c r="M2421" s="600"/>
      <c r="N2421" s="600">
        <v>0</v>
      </c>
      <c r="O2421" s="287">
        <f t="shared" si="715"/>
        <v>0</v>
      </c>
      <c r="P2421" s="287">
        <f t="shared" si="716"/>
        <v>0</v>
      </c>
      <c r="Q2421" s="288"/>
      <c r="R2421" s="311" t="str">
        <f>IF(P2416&gt;0,"xy","")</f>
        <v/>
      </c>
      <c r="S2421" s="378" t="str">
        <f t="shared" si="699"/>
        <v/>
      </c>
    </row>
    <row r="2422" spans="2:19" hidden="1" x14ac:dyDescent="0.2">
      <c r="B2422" s="708" t="s">
        <v>141</v>
      </c>
      <c r="C2422" s="596" t="s">
        <v>207</v>
      </c>
      <c r="D2422" s="383" t="s">
        <v>155</v>
      </c>
      <c r="E2422" s="704"/>
      <c r="F2422" s="661"/>
      <c r="G2422" s="665"/>
      <c r="H2422" s="664">
        <f>SUM(H2423:H2427)</f>
        <v>342.53270840000005</v>
      </c>
      <c r="I2422" s="380">
        <f>VLOOKUP(D2422,'ENSAIOS DE ORÇAMENTO'!$C$3:$L$79,8,FALSE)</f>
        <v>3263.2568899999997</v>
      </c>
      <c r="J2422" s="631">
        <f t="shared" ref="J2422" si="721">IF(ISBLANK(I2422),"",SUM(H2422:I2422))</f>
        <v>3605.7895983999997</v>
      </c>
      <c r="K2422" s="593">
        <f t="shared" si="702"/>
        <v>4570.34</v>
      </c>
      <c r="L2422" s="594" t="s">
        <v>21</v>
      </c>
      <c r="M2422" s="30"/>
      <c r="N2422" s="30">
        <v>4570.34</v>
      </c>
      <c r="O2422" s="287">
        <f t="shared" si="715"/>
        <v>0</v>
      </c>
      <c r="P2422" s="287">
        <f t="shared" si="716"/>
        <v>0</v>
      </c>
      <c r="Q2422" s="288"/>
      <c r="S2422" s="378" t="str">
        <f t="shared" si="699"/>
        <v/>
      </c>
    </row>
    <row r="2423" spans="2:19" hidden="1" x14ac:dyDescent="0.2">
      <c r="B2423" s="708" t="s">
        <v>168</v>
      </c>
      <c r="C2423" s="596"/>
      <c r="D2423" s="383" t="s">
        <v>213</v>
      </c>
      <c r="E2423" s="704"/>
      <c r="F2423" s="661">
        <v>500</v>
      </c>
      <c r="G2423" s="665">
        <f>VLOOKUP(D2422,'ENSAIOS DE ORÇAMENTO'!$C$3:$L$79,4,FALSE)</f>
        <v>0.38250000000000006</v>
      </c>
      <c r="H2423" s="664">
        <f>IF(F2423&lt;=30,(0.75*F2423+6.29)*G2423,((0.75*30+6.29)+0.62*(F2423-30))*G2423)</f>
        <v>122.47267500000002</v>
      </c>
      <c r="I2423" s="380"/>
      <c r="J2423" s="631"/>
      <c r="K2423" s="593">
        <f t="shared" si="702"/>
        <v>0</v>
      </c>
      <c r="L2423" s="594"/>
      <c r="M2423" s="600"/>
      <c r="N2423" s="600">
        <v>0</v>
      </c>
      <c r="O2423" s="287">
        <f t="shared" si="715"/>
        <v>0</v>
      </c>
      <c r="P2423" s="287">
        <f t="shared" si="716"/>
        <v>0</v>
      </c>
      <c r="Q2423" s="288"/>
      <c r="R2423" s="311" t="str">
        <f>IF(P2422&gt;0,"xy","")</f>
        <v/>
      </c>
      <c r="S2423" s="378" t="str">
        <f t="shared" si="699"/>
        <v/>
      </c>
    </row>
    <row r="2424" spans="2:19" hidden="1" x14ac:dyDescent="0.2">
      <c r="B2424" s="708" t="s">
        <v>168</v>
      </c>
      <c r="C2424" s="596"/>
      <c r="D2424" s="383" t="s">
        <v>249</v>
      </c>
      <c r="E2424" s="704"/>
      <c r="F2424" s="661">
        <v>180</v>
      </c>
      <c r="G2424" s="665">
        <f>VLOOKUP(D2422,'ENSAIOS DE ORÇAMENTO'!$C$3:$L$79,5,FALSE)</f>
        <v>1.1483800000000002</v>
      </c>
      <c r="H2424" s="663">
        <f t="shared" ref="H2424" si="722">IF(F2424&lt;=30,(1.05*F2424+2.18)*G2424,((1.05*30+2.18)+0.87*(F2424-30))*G2424)</f>
        <v>188.54102840000004</v>
      </c>
      <c r="I2424" s="380"/>
      <c r="J2424" s="631"/>
      <c r="K2424" s="593">
        <f t="shared" si="702"/>
        <v>0</v>
      </c>
      <c r="L2424" s="594"/>
      <c r="M2424" s="600"/>
      <c r="N2424" s="600">
        <v>0</v>
      </c>
      <c r="O2424" s="287">
        <f t="shared" si="715"/>
        <v>0</v>
      </c>
      <c r="P2424" s="287">
        <f t="shared" si="716"/>
        <v>0</v>
      </c>
      <c r="Q2424" s="288"/>
      <c r="R2424" s="311" t="str">
        <f>IF(P2422&gt;0,"xy","")</f>
        <v/>
      </c>
      <c r="S2424" s="378" t="str">
        <f t="shared" si="699"/>
        <v/>
      </c>
    </row>
    <row r="2425" spans="2:19" hidden="1" x14ac:dyDescent="0.2">
      <c r="B2425" s="708" t="s">
        <v>168</v>
      </c>
      <c r="C2425" s="596"/>
      <c r="D2425" s="383" t="s">
        <v>253</v>
      </c>
      <c r="E2425" s="704"/>
      <c r="F2425" s="661">
        <v>20</v>
      </c>
      <c r="G2425" s="665">
        <f>VLOOKUP(D2422,'ENSAIOS DE ORÇAMENTO'!$C$3:$L$79,6,FALSE)</f>
        <v>1.35975</v>
      </c>
      <c r="H2425" s="663">
        <f>IF(F2425&lt;=30,(1.05*F2425+2.18)*G2425,((1.05*30+2.18)+0.87*(F2425-30))*G2425)</f>
        <v>31.519005</v>
      </c>
      <c r="I2425" s="380"/>
      <c r="J2425" s="631"/>
      <c r="K2425" s="593">
        <f t="shared" si="702"/>
        <v>0</v>
      </c>
      <c r="L2425" s="594"/>
      <c r="M2425" s="600"/>
      <c r="N2425" s="600">
        <v>0</v>
      </c>
      <c r="O2425" s="287">
        <f t="shared" si="715"/>
        <v>0</v>
      </c>
      <c r="P2425" s="287">
        <f t="shared" si="716"/>
        <v>0</v>
      </c>
      <c r="Q2425" s="288"/>
      <c r="R2425" s="243" t="str">
        <f>IF(P2422&gt;0,"xy","")</f>
        <v/>
      </c>
      <c r="S2425" s="378" t="str">
        <f t="shared" si="699"/>
        <v/>
      </c>
    </row>
    <row r="2426" spans="2:19" hidden="1" x14ac:dyDescent="0.2">
      <c r="B2426" s="708" t="s">
        <v>168</v>
      </c>
      <c r="C2426" s="596"/>
      <c r="D2426" s="383" t="s">
        <v>402</v>
      </c>
      <c r="E2426" s="704"/>
      <c r="F2426" s="661">
        <v>30</v>
      </c>
      <c r="G2426" s="665">
        <f>VLOOKUP(D2422,'ENSAIOS DE ORÇAMENTO'!$C$3:$L$79,3,FALSE)</f>
        <v>0</v>
      </c>
      <c r="H2426" s="663">
        <f>IF(F2426&lt;=30,(1.05*F2426+2.18)*G2426,((1.05*30+2.18)+0.87*(F2426-30))*G2426)</f>
        <v>0</v>
      </c>
      <c r="I2426" s="380"/>
      <c r="J2426" s="631"/>
      <c r="K2426" s="593">
        <f t="shared" si="702"/>
        <v>0</v>
      </c>
      <c r="L2426" s="594"/>
      <c r="M2426" s="600"/>
      <c r="N2426" s="600">
        <v>0</v>
      </c>
      <c r="O2426" s="287">
        <f t="shared" si="715"/>
        <v>0</v>
      </c>
      <c r="P2426" s="287">
        <f t="shared" si="716"/>
        <v>0</v>
      </c>
      <c r="Q2426" s="288"/>
      <c r="R2426" s="311" t="str">
        <f>IF(P2422&gt;0,"xy","")</f>
        <v/>
      </c>
      <c r="S2426" s="378" t="str">
        <f t="shared" si="699"/>
        <v/>
      </c>
    </row>
    <row r="2427" spans="2:19" hidden="1" x14ac:dyDescent="0.2">
      <c r="B2427" s="708" t="s">
        <v>168</v>
      </c>
      <c r="C2427" s="596"/>
      <c r="D2427" s="383" t="s">
        <v>403</v>
      </c>
      <c r="E2427" s="704"/>
      <c r="F2427" s="661">
        <v>500</v>
      </c>
      <c r="G2427" s="665">
        <f>VLOOKUP(D2422,'ENSAIOS DE ORÇAMENTO'!$C$3:$L$79,10,FALSE)</f>
        <v>0</v>
      </c>
      <c r="H2427" s="663">
        <f>IF(F2427&lt;=30,(1.05*F2427+2.18)*G2427,((1.05*30+2.18)+0.87*(F2427-30))*G2427)</f>
        <v>0</v>
      </c>
      <c r="I2427" s="380"/>
      <c r="J2427" s="631"/>
      <c r="K2427" s="593">
        <f t="shared" si="702"/>
        <v>0</v>
      </c>
      <c r="L2427" s="594"/>
      <c r="M2427" s="600"/>
      <c r="N2427" s="600">
        <v>0</v>
      </c>
      <c r="O2427" s="287">
        <f t="shared" si="715"/>
        <v>0</v>
      </c>
      <c r="P2427" s="287">
        <f t="shared" si="716"/>
        <v>0</v>
      </c>
      <c r="Q2427" s="288"/>
      <c r="R2427" s="311" t="str">
        <f>IF(P2422&gt;0,"xy","")</f>
        <v/>
      </c>
      <c r="S2427" s="378" t="str">
        <f t="shared" si="699"/>
        <v/>
      </c>
    </row>
    <row r="2428" spans="2:19" hidden="1" x14ac:dyDescent="0.2">
      <c r="B2428" s="708" t="s">
        <v>142</v>
      </c>
      <c r="C2428" s="596" t="s">
        <v>207</v>
      </c>
      <c r="D2428" s="383" t="s">
        <v>156</v>
      </c>
      <c r="E2428" s="704"/>
      <c r="F2428" s="661"/>
      <c r="G2428" s="665"/>
      <c r="H2428" s="664">
        <f>SUM(H2429:H2433)</f>
        <v>384.92305040000002</v>
      </c>
      <c r="I2428" s="380">
        <f>VLOOKUP(D2428,'ENSAIOS DE ORÇAMENTO'!$C$3:$L$79,8,FALSE)</f>
        <v>3619.8897149999993</v>
      </c>
      <c r="J2428" s="631">
        <f t="shared" ref="J2428" si="723">IF(ISBLANK(I2428),"",SUM(H2428:I2428))</f>
        <v>4004.8127653999995</v>
      </c>
      <c r="K2428" s="593">
        <f t="shared" si="702"/>
        <v>5076.1000000000004</v>
      </c>
      <c r="L2428" s="594" t="s">
        <v>21</v>
      </c>
      <c r="M2428" s="30"/>
      <c r="N2428" s="30">
        <v>5076.1000000000004</v>
      </c>
      <c r="O2428" s="287">
        <f t="shared" si="715"/>
        <v>0</v>
      </c>
      <c r="P2428" s="287">
        <f t="shared" si="716"/>
        <v>0</v>
      </c>
      <c r="Q2428" s="288"/>
      <c r="S2428" s="378" t="str">
        <f t="shared" si="699"/>
        <v/>
      </c>
    </row>
    <row r="2429" spans="2:19" hidden="1" x14ac:dyDescent="0.2">
      <c r="B2429" s="708" t="s">
        <v>168</v>
      </c>
      <c r="C2429" s="596"/>
      <c r="D2429" s="383" t="s">
        <v>213</v>
      </c>
      <c r="E2429" s="704"/>
      <c r="F2429" s="661">
        <v>500</v>
      </c>
      <c r="G2429" s="665">
        <f>VLOOKUP(D2428,'ENSAIOS DE ORÇAMENTO'!$C$3:$L$79,4,FALSE)</f>
        <v>0.43200000000000005</v>
      </c>
      <c r="H2429" s="664">
        <f>IF(F2429&lt;=30,(0.75*F2429+6.29)*G2429,((0.75*30+6.29)+0.62*(F2429-30))*G2429)</f>
        <v>138.32208000000003</v>
      </c>
      <c r="I2429" s="380"/>
      <c r="J2429" s="631"/>
      <c r="K2429" s="593">
        <f t="shared" si="702"/>
        <v>0</v>
      </c>
      <c r="L2429" s="594"/>
      <c r="M2429" s="600"/>
      <c r="N2429" s="600">
        <v>0</v>
      </c>
      <c r="O2429" s="287">
        <f t="shared" si="715"/>
        <v>0</v>
      </c>
      <c r="P2429" s="287">
        <f t="shared" si="716"/>
        <v>0</v>
      </c>
      <c r="Q2429" s="288"/>
      <c r="R2429" s="311" t="str">
        <f>IF(P2428&gt;0,"xy","")</f>
        <v/>
      </c>
      <c r="S2429" s="378" t="str">
        <f t="shared" ref="S2429:S2492" si="724">IF(R2429="x","x",IF(R2429="y","x",IF(R2429="xy","x",IF(P2429&gt;0,"x",""))))</f>
        <v/>
      </c>
    </row>
    <row r="2430" spans="2:19" hidden="1" x14ac:dyDescent="0.2">
      <c r="B2430" s="708" t="s">
        <v>168</v>
      </c>
      <c r="C2430" s="596"/>
      <c r="D2430" s="383" t="s">
        <v>249</v>
      </c>
      <c r="E2430" s="704"/>
      <c r="F2430" s="661">
        <v>180</v>
      </c>
      <c r="G2430" s="665">
        <f>VLOOKUP(D2428,'ENSAIOS DE ORÇAMENTO'!$C$3:$L$79,5,FALSE)</f>
        <v>1.28653</v>
      </c>
      <c r="H2430" s="663">
        <f t="shared" ref="H2430" si="725">IF(F2430&lt;=30,(1.05*F2430+2.18)*G2430,((1.05*30+2.18)+0.87*(F2430-30))*G2430)</f>
        <v>211.22249540000001</v>
      </c>
      <c r="I2430" s="380"/>
      <c r="J2430" s="631"/>
      <c r="K2430" s="593">
        <f t="shared" si="702"/>
        <v>0</v>
      </c>
      <c r="L2430" s="594"/>
      <c r="M2430" s="600"/>
      <c r="N2430" s="600">
        <v>0</v>
      </c>
      <c r="O2430" s="287">
        <f t="shared" si="715"/>
        <v>0</v>
      </c>
      <c r="P2430" s="287">
        <f t="shared" si="716"/>
        <v>0</v>
      </c>
      <c r="Q2430" s="288"/>
      <c r="R2430" s="311" t="str">
        <f>IF(P2428&gt;0,"xy","")</f>
        <v/>
      </c>
      <c r="S2430" s="378" t="str">
        <f t="shared" si="724"/>
        <v/>
      </c>
    </row>
    <row r="2431" spans="2:19" hidden="1" x14ac:dyDescent="0.2">
      <c r="B2431" s="708" t="s">
        <v>168</v>
      </c>
      <c r="C2431" s="596"/>
      <c r="D2431" s="383" t="s">
        <v>253</v>
      </c>
      <c r="E2431" s="704"/>
      <c r="F2431" s="661">
        <v>20</v>
      </c>
      <c r="G2431" s="665">
        <f>VLOOKUP(D2428,'ENSAIOS DE ORÇAMENTO'!$C$3:$L$79,6,FALSE)</f>
        <v>1.5262500000000001</v>
      </c>
      <c r="H2431" s="663">
        <f>IF(F2431&lt;=30,(1.05*F2431+2.18)*G2431,((1.05*30+2.18)+0.87*(F2431-30))*G2431)</f>
        <v>35.378475000000002</v>
      </c>
      <c r="I2431" s="380"/>
      <c r="J2431" s="631"/>
      <c r="K2431" s="593">
        <f t="shared" si="702"/>
        <v>0</v>
      </c>
      <c r="L2431" s="594"/>
      <c r="M2431" s="600"/>
      <c r="N2431" s="600">
        <v>0</v>
      </c>
      <c r="O2431" s="287">
        <f t="shared" si="715"/>
        <v>0</v>
      </c>
      <c r="P2431" s="287">
        <f t="shared" si="716"/>
        <v>0</v>
      </c>
      <c r="Q2431" s="288"/>
      <c r="R2431" s="243" t="str">
        <f>IF(P2428&gt;0,"xy","")</f>
        <v/>
      </c>
      <c r="S2431" s="378" t="str">
        <f t="shared" si="724"/>
        <v/>
      </c>
    </row>
    <row r="2432" spans="2:19" hidden="1" x14ac:dyDescent="0.2">
      <c r="B2432" s="708" t="s">
        <v>168</v>
      </c>
      <c r="C2432" s="596"/>
      <c r="D2432" s="383" t="s">
        <v>402</v>
      </c>
      <c r="E2432" s="704"/>
      <c r="F2432" s="661">
        <v>30</v>
      </c>
      <c r="G2432" s="665">
        <f>VLOOKUP(D2428,'ENSAIOS DE ORÇAMENTO'!$C$3:$L$79,3,FALSE)</f>
        <v>0</v>
      </c>
      <c r="H2432" s="663">
        <f>IF(F2432&lt;=30,(1.05*F2432+2.18)*G2432,((1.05*30+2.18)+0.87*(F2432-30))*G2432)</f>
        <v>0</v>
      </c>
      <c r="I2432" s="380"/>
      <c r="J2432" s="631"/>
      <c r="K2432" s="593">
        <f t="shared" si="702"/>
        <v>0</v>
      </c>
      <c r="L2432" s="594"/>
      <c r="M2432" s="600"/>
      <c r="N2432" s="600">
        <v>0</v>
      </c>
      <c r="O2432" s="287">
        <f t="shared" si="715"/>
        <v>0</v>
      </c>
      <c r="P2432" s="287">
        <f t="shared" si="716"/>
        <v>0</v>
      </c>
      <c r="Q2432" s="288"/>
      <c r="R2432" s="311" t="str">
        <f>IF(P2428&gt;0,"xy","")</f>
        <v/>
      </c>
      <c r="S2432" s="378" t="str">
        <f t="shared" si="724"/>
        <v/>
      </c>
    </row>
    <row r="2433" spans="2:19" hidden="1" x14ac:dyDescent="0.2">
      <c r="B2433" s="708" t="s">
        <v>168</v>
      </c>
      <c r="C2433" s="596"/>
      <c r="D2433" s="383" t="s">
        <v>403</v>
      </c>
      <c r="E2433" s="704"/>
      <c r="F2433" s="661">
        <v>500</v>
      </c>
      <c r="G2433" s="665">
        <f>VLOOKUP(D2428,'ENSAIOS DE ORÇAMENTO'!$C$3:$L$79,10,FALSE)</f>
        <v>0</v>
      </c>
      <c r="H2433" s="663">
        <f>IF(F2433&lt;=30,(1.05*F2433+2.18)*G2433,((1.05*30+2.18)+0.87*(F2433-30))*G2433)</f>
        <v>0</v>
      </c>
      <c r="I2433" s="380"/>
      <c r="J2433" s="631"/>
      <c r="K2433" s="593">
        <f t="shared" si="702"/>
        <v>0</v>
      </c>
      <c r="L2433" s="594"/>
      <c r="M2433" s="600"/>
      <c r="N2433" s="600">
        <v>0</v>
      </c>
      <c r="O2433" s="287">
        <f t="shared" si="715"/>
        <v>0</v>
      </c>
      <c r="P2433" s="287">
        <f t="shared" si="716"/>
        <v>0</v>
      </c>
      <c r="Q2433" s="288"/>
      <c r="R2433" s="311" t="str">
        <f>IF(P2428&gt;0,"xy","")</f>
        <v/>
      </c>
      <c r="S2433" s="378" t="str">
        <f t="shared" si="724"/>
        <v/>
      </c>
    </row>
    <row r="2434" spans="2:19" hidden="1" x14ac:dyDescent="0.2">
      <c r="B2434" s="708" t="s">
        <v>143</v>
      </c>
      <c r="C2434" s="596" t="s">
        <v>207</v>
      </c>
      <c r="D2434" s="383" t="s">
        <v>157</v>
      </c>
      <c r="E2434" s="704"/>
      <c r="F2434" s="661"/>
      <c r="G2434" s="665"/>
      <c r="H2434" s="664">
        <f>SUM(H2435:H2439)</f>
        <v>447.095552</v>
      </c>
      <c r="I2434" s="380">
        <f>VLOOKUP(D2434,'ENSAIOS DE ORÇAMENTO'!$C$3:$L$79,8,FALSE)</f>
        <v>4144.8440249999994</v>
      </c>
      <c r="J2434" s="631">
        <f t="shared" ref="J2434" si="726">IF(ISBLANK(I2434),"",SUM(H2434:I2434))</f>
        <v>4591.9395769999992</v>
      </c>
      <c r="K2434" s="593">
        <f t="shared" ref="K2434:K2497" si="727">IF(ISBLANK(I2434),0,ROUND(J2434*(1+$F$10)*(1+$F$11*E2434),2))</f>
        <v>5820.28</v>
      </c>
      <c r="L2434" s="594" t="s">
        <v>21</v>
      </c>
      <c r="M2434" s="30"/>
      <c r="N2434" s="30">
        <v>5820.28</v>
      </c>
      <c r="O2434" s="287">
        <f t="shared" si="715"/>
        <v>0</v>
      </c>
      <c r="P2434" s="287">
        <f t="shared" si="716"/>
        <v>0</v>
      </c>
      <c r="Q2434" s="288"/>
      <c r="S2434" s="378" t="str">
        <f t="shared" si="724"/>
        <v/>
      </c>
    </row>
    <row r="2435" spans="2:19" hidden="1" x14ac:dyDescent="0.2">
      <c r="B2435" s="708" t="s">
        <v>168</v>
      </c>
      <c r="C2435" s="596"/>
      <c r="D2435" s="383" t="s">
        <v>213</v>
      </c>
      <c r="E2435" s="704"/>
      <c r="F2435" s="661">
        <v>500</v>
      </c>
      <c r="G2435" s="665">
        <f>VLOOKUP(D2434,'ENSAIOS DE ORÇAMENTO'!$C$3:$L$79,4,FALSE)</f>
        <v>0.50459999999999994</v>
      </c>
      <c r="H2435" s="664">
        <f>IF(F2435&lt;=30,(0.75*F2435+6.29)*G2435,((0.75*30+6.29)+0.62*(F2435-30))*G2435)</f>
        <v>161.56787399999999</v>
      </c>
      <c r="I2435" s="380"/>
      <c r="J2435" s="631"/>
      <c r="K2435" s="593">
        <f t="shared" si="727"/>
        <v>0</v>
      </c>
      <c r="L2435" s="594"/>
      <c r="M2435" s="600"/>
      <c r="N2435" s="600">
        <v>0</v>
      </c>
      <c r="O2435" s="287">
        <f t="shared" si="715"/>
        <v>0</v>
      </c>
      <c r="P2435" s="287">
        <f t="shared" si="716"/>
        <v>0</v>
      </c>
      <c r="Q2435" s="288"/>
      <c r="R2435" s="311" t="str">
        <f>IF(P2434&gt;0,"xy","")</f>
        <v/>
      </c>
      <c r="S2435" s="378" t="str">
        <f t="shared" si="724"/>
        <v/>
      </c>
    </row>
    <row r="2436" spans="2:19" hidden="1" x14ac:dyDescent="0.2">
      <c r="B2436" s="708" t="s">
        <v>168</v>
      </c>
      <c r="C2436" s="596"/>
      <c r="D2436" s="383" t="s">
        <v>249</v>
      </c>
      <c r="E2436" s="704"/>
      <c r="F2436" s="661">
        <v>180</v>
      </c>
      <c r="G2436" s="665">
        <f>VLOOKUP(D2434,'ENSAIOS DE ORÇAMENTO'!$C$3:$L$79,5,FALSE)</f>
        <v>1.48915</v>
      </c>
      <c r="H2436" s="663">
        <f t="shared" ref="H2436" si="728">IF(F2436&lt;=30,(1.05*F2436+2.18)*G2436,((1.05*30+2.18)+0.87*(F2436-30))*G2436)</f>
        <v>244.48864700000001</v>
      </c>
      <c r="I2436" s="380"/>
      <c r="J2436" s="631"/>
      <c r="K2436" s="593">
        <f t="shared" si="727"/>
        <v>0</v>
      </c>
      <c r="L2436" s="594"/>
      <c r="M2436" s="600"/>
      <c r="N2436" s="600">
        <v>0</v>
      </c>
      <c r="O2436" s="287">
        <f t="shared" si="715"/>
        <v>0</v>
      </c>
      <c r="P2436" s="287">
        <f t="shared" si="716"/>
        <v>0</v>
      </c>
      <c r="Q2436" s="288"/>
      <c r="R2436" s="311" t="str">
        <f>IF(P2434&gt;0,"xy","")</f>
        <v/>
      </c>
      <c r="S2436" s="378" t="str">
        <f t="shared" si="724"/>
        <v/>
      </c>
    </row>
    <row r="2437" spans="2:19" hidden="1" x14ac:dyDescent="0.2">
      <c r="B2437" s="708" t="s">
        <v>168</v>
      </c>
      <c r="C2437" s="596"/>
      <c r="D2437" s="383" t="s">
        <v>253</v>
      </c>
      <c r="E2437" s="704"/>
      <c r="F2437" s="661">
        <v>20</v>
      </c>
      <c r="G2437" s="665">
        <f>VLOOKUP(D2434,'ENSAIOS DE ORÇAMENTO'!$C$3:$L$79,6,FALSE)</f>
        <v>1.7704500000000001</v>
      </c>
      <c r="H2437" s="663">
        <f>IF(F2437&lt;=30,(1.05*F2437+2.18)*G2437,((1.05*30+2.18)+0.87*(F2437-30))*G2437)</f>
        <v>41.039031000000001</v>
      </c>
      <c r="I2437" s="380"/>
      <c r="J2437" s="631"/>
      <c r="K2437" s="593">
        <f t="shared" si="727"/>
        <v>0</v>
      </c>
      <c r="L2437" s="594"/>
      <c r="M2437" s="600"/>
      <c r="N2437" s="600">
        <v>0</v>
      </c>
      <c r="O2437" s="287">
        <f t="shared" si="715"/>
        <v>0</v>
      </c>
      <c r="P2437" s="287">
        <f t="shared" si="716"/>
        <v>0</v>
      </c>
      <c r="Q2437" s="288"/>
      <c r="R2437" s="243" t="str">
        <f>IF(P2434&gt;0,"xy","")</f>
        <v/>
      </c>
      <c r="S2437" s="378" t="str">
        <f t="shared" si="724"/>
        <v/>
      </c>
    </row>
    <row r="2438" spans="2:19" hidden="1" x14ac:dyDescent="0.2">
      <c r="B2438" s="708" t="s">
        <v>168</v>
      </c>
      <c r="C2438" s="596"/>
      <c r="D2438" s="383" t="s">
        <v>402</v>
      </c>
      <c r="E2438" s="704"/>
      <c r="F2438" s="661">
        <v>30</v>
      </c>
      <c r="G2438" s="665">
        <f>VLOOKUP(D2434,'ENSAIOS DE ORÇAMENTO'!$C$3:$L$79,3,FALSE)</f>
        <v>0</v>
      </c>
      <c r="H2438" s="663">
        <f>IF(F2438&lt;=30,(1.05*F2438+2.18)*G2438,((1.05*30+2.18)+0.87*(F2438-30))*G2438)</f>
        <v>0</v>
      </c>
      <c r="I2438" s="380"/>
      <c r="J2438" s="631"/>
      <c r="K2438" s="593">
        <f t="shared" si="727"/>
        <v>0</v>
      </c>
      <c r="L2438" s="594"/>
      <c r="M2438" s="600"/>
      <c r="N2438" s="600">
        <v>0</v>
      </c>
      <c r="O2438" s="287">
        <f t="shared" si="715"/>
        <v>0</v>
      </c>
      <c r="P2438" s="287">
        <f t="shared" si="716"/>
        <v>0</v>
      </c>
      <c r="Q2438" s="288"/>
      <c r="R2438" s="311" t="str">
        <f>IF(P2434&gt;0,"xy","")</f>
        <v/>
      </c>
      <c r="S2438" s="378" t="str">
        <f t="shared" si="724"/>
        <v/>
      </c>
    </row>
    <row r="2439" spans="2:19" hidden="1" x14ac:dyDescent="0.2">
      <c r="B2439" s="708" t="s">
        <v>168</v>
      </c>
      <c r="C2439" s="596"/>
      <c r="D2439" s="383" t="s">
        <v>403</v>
      </c>
      <c r="E2439" s="704"/>
      <c r="F2439" s="661">
        <v>500</v>
      </c>
      <c r="G2439" s="665">
        <f>VLOOKUP(D2434,'ENSAIOS DE ORÇAMENTO'!$C$3:$L$79,10,FALSE)</f>
        <v>0</v>
      </c>
      <c r="H2439" s="663">
        <f>IF(F2439&lt;=30,(1.05*F2439+2.18)*G2439,((1.05*30+2.18)+0.87*(F2439-30))*G2439)</f>
        <v>0</v>
      </c>
      <c r="I2439" s="380"/>
      <c r="J2439" s="631"/>
      <c r="K2439" s="593">
        <f t="shared" si="727"/>
        <v>0</v>
      </c>
      <c r="L2439" s="594"/>
      <c r="M2439" s="600"/>
      <c r="N2439" s="600">
        <v>0</v>
      </c>
      <c r="O2439" s="287">
        <f t="shared" si="715"/>
        <v>0</v>
      </c>
      <c r="P2439" s="287">
        <f t="shared" si="716"/>
        <v>0</v>
      </c>
      <c r="Q2439" s="288"/>
      <c r="R2439" s="311" t="str">
        <f>IF(P2434&gt;0,"xy","")</f>
        <v/>
      </c>
      <c r="S2439" s="378" t="str">
        <f t="shared" si="724"/>
        <v/>
      </c>
    </row>
    <row r="2440" spans="2:19" hidden="1" x14ac:dyDescent="0.2">
      <c r="B2440" s="708" t="s">
        <v>47</v>
      </c>
      <c r="C2440" s="596" t="s">
        <v>207</v>
      </c>
      <c r="D2440" s="383" t="s">
        <v>158</v>
      </c>
      <c r="E2440" s="704"/>
      <c r="F2440" s="661"/>
      <c r="G2440" s="665"/>
      <c r="H2440" s="664">
        <f>SUM(H2441:H2445)</f>
        <v>566.57133400000009</v>
      </c>
      <c r="I2440" s="380">
        <f>VLOOKUP(D2440,'ENSAIOS DE ORÇAMENTO'!$C$3:$L$79,8,FALSE)</f>
        <v>4999.5484749999987</v>
      </c>
      <c r="J2440" s="631">
        <f t="shared" ref="J2440" si="729">IF(ISBLANK(I2440),"",SUM(H2440:I2440))</f>
        <v>5566.1198089999989</v>
      </c>
      <c r="K2440" s="593">
        <f t="shared" si="727"/>
        <v>7055.06</v>
      </c>
      <c r="L2440" s="594" t="s">
        <v>21</v>
      </c>
      <c r="M2440" s="30"/>
      <c r="N2440" s="30">
        <v>7055.06</v>
      </c>
      <c r="O2440" s="287">
        <f t="shared" si="715"/>
        <v>0</v>
      </c>
      <c r="P2440" s="287">
        <f t="shared" si="716"/>
        <v>0</v>
      </c>
      <c r="Q2440" s="288"/>
      <c r="S2440" s="378" t="str">
        <f t="shared" si="724"/>
        <v/>
      </c>
    </row>
    <row r="2441" spans="2:19" hidden="1" x14ac:dyDescent="0.2">
      <c r="B2441" s="708" t="s">
        <v>168</v>
      </c>
      <c r="C2441" s="596"/>
      <c r="D2441" s="383" t="s">
        <v>213</v>
      </c>
      <c r="E2441" s="704"/>
      <c r="F2441" s="661">
        <v>500</v>
      </c>
      <c r="G2441" s="665">
        <f>VLOOKUP(D2440,'ENSAIOS DE ORÇAMENTO'!$C$3:$L$79,4,FALSE)</f>
        <v>0.6411</v>
      </c>
      <c r="H2441" s="664">
        <f>IF(F2441&lt;=30,(0.75*F2441+6.29)*G2441,((0.75*30+6.29)+0.62*(F2441-30))*G2441)</f>
        <v>205.273809</v>
      </c>
      <c r="I2441" s="380"/>
      <c r="J2441" s="631"/>
      <c r="K2441" s="593">
        <f t="shared" si="727"/>
        <v>0</v>
      </c>
      <c r="L2441" s="594"/>
      <c r="M2441" s="600"/>
      <c r="N2441" s="600">
        <v>0</v>
      </c>
      <c r="O2441" s="287">
        <f t="shared" si="715"/>
        <v>0</v>
      </c>
      <c r="P2441" s="287">
        <f t="shared" si="716"/>
        <v>0</v>
      </c>
      <c r="Q2441" s="288"/>
      <c r="R2441" s="311" t="str">
        <f>IF(P2440&gt;0,"xy","")</f>
        <v/>
      </c>
      <c r="S2441" s="378" t="str">
        <f t="shared" si="724"/>
        <v/>
      </c>
    </row>
    <row r="2442" spans="2:19" hidden="1" x14ac:dyDescent="0.2">
      <c r="B2442" s="708" t="s">
        <v>168</v>
      </c>
      <c r="C2442" s="596"/>
      <c r="D2442" s="383" t="s">
        <v>249</v>
      </c>
      <c r="E2442" s="704"/>
      <c r="F2442" s="661">
        <v>180</v>
      </c>
      <c r="G2442" s="665">
        <f>VLOOKUP(D2440,'ENSAIOS DE ORÇAMENTO'!$C$3:$L$79,5,FALSE)</f>
        <v>1.8840500000000002</v>
      </c>
      <c r="H2442" s="663">
        <f t="shared" ref="H2442" si="730">IF(F2442&lt;=30,(1.05*F2442+2.18)*G2442,((1.05*30+2.18)+0.87*(F2442-30))*G2442)</f>
        <v>309.32332900000006</v>
      </c>
      <c r="I2442" s="380"/>
      <c r="J2442" s="631"/>
      <c r="K2442" s="593">
        <f t="shared" si="727"/>
        <v>0</v>
      </c>
      <c r="L2442" s="594"/>
      <c r="M2442" s="600"/>
      <c r="N2442" s="600">
        <v>0</v>
      </c>
      <c r="O2442" s="287">
        <f t="shared" si="715"/>
        <v>0</v>
      </c>
      <c r="P2442" s="287">
        <f t="shared" si="716"/>
        <v>0</v>
      </c>
      <c r="Q2442" s="288"/>
      <c r="R2442" s="311" t="str">
        <f>IF(P2440&gt;0,"xy","")</f>
        <v/>
      </c>
      <c r="S2442" s="378" t="str">
        <f t="shared" si="724"/>
        <v/>
      </c>
    </row>
    <row r="2443" spans="2:19" hidden="1" x14ac:dyDescent="0.2">
      <c r="B2443" s="708" t="s">
        <v>168</v>
      </c>
      <c r="C2443" s="596"/>
      <c r="D2443" s="383" t="s">
        <v>253</v>
      </c>
      <c r="E2443" s="704"/>
      <c r="F2443" s="661">
        <v>20</v>
      </c>
      <c r="G2443" s="665">
        <f>VLOOKUP(D2440,'ENSAIOS DE ORÇAMENTO'!$C$3:$L$79,6,FALSE)</f>
        <v>2.2422</v>
      </c>
      <c r="H2443" s="663">
        <f>IF(F2443&lt;=30,(1.05*F2443+2.18)*G2443,((1.05*30+2.18)+0.87*(F2443-30))*G2443)</f>
        <v>51.974195999999999</v>
      </c>
      <c r="I2443" s="380"/>
      <c r="J2443" s="631"/>
      <c r="K2443" s="593">
        <f t="shared" si="727"/>
        <v>0</v>
      </c>
      <c r="L2443" s="594"/>
      <c r="M2443" s="600"/>
      <c r="N2443" s="600">
        <v>0</v>
      </c>
      <c r="O2443" s="287">
        <f t="shared" si="715"/>
        <v>0</v>
      </c>
      <c r="P2443" s="287">
        <f t="shared" si="716"/>
        <v>0</v>
      </c>
      <c r="Q2443" s="288"/>
      <c r="R2443" s="243" t="str">
        <f>IF(P2440&gt;0,"xy","")</f>
        <v/>
      </c>
      <c r="S2443" s="378" t="str">
        <f t="shared" si="724"/>
        <v/>
      </c>
    </row>
    <row r="2444" spans="2:19" hidden="1" x14ac:dyDescent="0.2">
      <c r="B2444" s="708" t="s">
        <v>168</v>
      </c>
      <c r="C2444" s="596"/>
      <c r="D2444" s="383" t="s">
        <v>402</v>
      </c>
      <c r="E2444" s="704"/>
      <c r="F2444" s="661">
        <v>30</v>
      </c>
      <c r="G2444" s="665">
        <f>VLOOKUP(D2440,'ENSAIOS DE ORÇAMENTO'!$C$3:$L$79,3,FALSE)</f>
        <v>0</v>
      </c>
      <c r="H2444" s="663">
        <f>IF(F2444&lt;=30,(1.05*F2444+2.18)*G2444,((1.05*30+2.18)+0.87*(F2444-30))*G2444)</f>
        <v>0</v>
      </c>
      <c r="I2444" s="380"/>
      <c r="J2444" s="631"/>
      <c r="K2444" s="593">
        <f t="shared" si="727"/>
        <v>0</v>
      </c>
      <c r="L2444" s="594"/>
      <c r="M2444" s="600"/>
      <c r="N2444" s="600">
        <v>0</v>
      </c>
      <c r="O2444" s="287">
        <f t="shared" si="715"/>
        <v>0</v>
      </c>
      <c r="P2444" s="287">
        <f t="shared" si="716"/>
        <v>0</v>
      </c>
      <c r="Q2444" s="288"/>
      <c r="R2444" s="311" t="str">
        <f>IF(P2440&gt;0,"xy","")</f>
        <v/>
      </c>
      <c r="S2444" s="378" t="str">
        <f t="shared" si="724"/>
        <v/>
      </c>
    </row>
    <row r="2445" spans="2:19" hidden="1" x14ac:dyDescent="0.2">
      <c r="B2445" s="708" t="s">
        <v>168</v>
      </c>
      <c r="C2445" s="596"/>
      <c r="D2445" s="383" t="s">
        <v>403</v>
      </c>
      <c r="E2445" s="704"/>
      <c r="F2445" s="661">
        <v>500</v>
      </c>
      <c r="G2445" s="665">
        <f>VLOOKUP(D2440,'ENSAIOS DE ORÇAMENTO'!$C$3:$L$79,10,FALSE)</f>
        <v>0</v>
      </c>
      <c r="H2445" s="663">
        <f>IF(F2445&lt;=30,(1.05*F2445+2.18)*G2445,((1.05*30+2.18)+0.87*(F2445-30))*G2445)</f>
        <v>0</v>
      </c>
      <c r="I2445" s="380"/>
      <c r="J2445" s="631"/>
      <c r="K2445" s="593">
        <f t="shared" si="727"/>
        <v>0</v>
      </c>
      <c r="L2445" s="594"/>
      <c r="M2445" s="600"/>
      <c r="N2445" s="600">
        <v>0</v>
      </c>
      <c r="O2445" s="287">
        <f t="shared" si="715"/>
        <v>0</v>
      </c>
      <c r="P2445" s="287">
        <f t="shared" si="716"/>
        <v>0</v>
      </c>
      <c r="Q2445" s="288"/>
      <c r="R2445" s="311" t="str">
        <f>IF(P2440&gt;0,"xy","")</f>
        <v/>
      </c>
      <c r="S2445" s="378" t="str">
        <f t="shared" si="724"/>
        <v/>
      </c>
    </row>
    <row r="2446" spans="2:19" hidden="1" x14ac:dyDescent="0.2">
      <c r="B2446" s="708" t="s">
        <v>144</v>
      </c>
      <c r="C2446" s="596" t="s">
        <v>207</v>
      </c>
      <c r="D2446" s="383" t="s">
        <v>159</v>
      </c>
      <c r="E2446" s="704"/>
      <c r="F2446" s="661"/>
      <c r="G2446" s="665"/>
      <c r="H2446" s="664">
        <f>SUM(H2447:H2451)</f>
        <v>710.45174199999997</v>
      </c>
      <c r="I2446" s="380">
        <f>VLOOKUP(D2446,'ENSAIOS DE ORÇAMENTO'!$C$3:$L$79,8,FALSE)</f>
        <v>6030.3410599999979</v>
      </c>
      <c r="J2446" s="631">
        <f t="shared" ref="J2446" si="731">IF(ISBLANK(I2446),"",SUM(H2446:I2446))</f>
        <v>6740.7928019999981</v>
      </c>
      <c r="K2446" s="593">
        <f t="shared" si="727"/>
        <v>8543.9500000000007</v>
      </c>
      <c r="L2446" s="594" t="s">
        <v>21</v>
      </c>
      <c r="M2446" s="30"/>
      <c r="N2446" s="30">
        <v>8543.9500000000007</v>
      </c>
      <c r="O2446" s="287">
        <f t="shared" si="715"/>
        <v>0</v>
      </c>
      <c r="P2446" s="287">
        <f t="shared" si="716"/>
        <v>0</v>
      </c>
      <c r="Q2446" s="288"/>
      <c r="S2446" s="378" t="str">
        <f t="shared" si="724"/>
        <v/>
      </c>
    </row>
    <row r="2447" spans="2:19" hidden="1" x14ac:dyDescent="0.2">
      <c r="B2447" s="708" t="s">
        <v>168</v>
      </c>
      <c r="C2447" s="596"/>
      <c r="D2447" s="383" t="s">
        <v>213</v>
      </c>
      <c r="E2447" s="704"/>
      <c r="F2447" s="661">
        <v>500</v>
      </c>
      <c r="G2447" s="665">
        <f>VLOOKUP(D2446,'ENSAIOS DE ORÇAMENTO'!$C$3:$L$79,4,FALSE)</f>
        <v>0.80657999999999996</v>
      </c>
      <c r="H2447" s="664">
        <f>IF(F2447&lt;=30,(0.75*F2447+6.29)*G2447,((0.75*30+6.29)+0.62*(F2447-30))*G2447)</f>
        <v>258.25885019999998</v>
      </c>
      <c r="I2447" s="380"/>
      <c r="J2447" s="631"/>
      <c r="K2447" s="593">
        <f t="shared" si="727"/>
        <v>0</v>
      </c>
      <c r="L2447" s="594"/>
      <c r="M2447" s="600"/>
      <c r="N2447" s="600">
        <v>0</v>
      </c>
      <c r="O2447" s="287">
        <f t="shared" si="715"/>
        <v>0</v>
      </c>
      <c r="P2447" s="287">
        <f t="shared" si="716"/>
        <v>0</v>
      </c>
      <c r="Q2447" s="288"/>
      <c r="R2447" s="311" t="str">
        <f>IF(P2446&gt;0,"xy","")</f>
        <v/>
      </c>
      <c r="S2447" s="378" t="str">
        <f t="shared" si="724"/>
        <v/>
      </c>
    </row>
    <row r="2448" spans="2:19" hidden="1" x14ac:dyDescent="0.2">
      <c r="B2448" s="708" t="s">
        <v>168</v>
      </c>
      <c r="C2448" s="596"/>
      <c r="D2448" s="383" t="s">
        <v>249</v>
      </c>
      <c r="E2448" s="704"/>
      <c r="F2448" s="661">
        <v>180</v>
      </c>
      <c r="G2448" s="665">
        <f>VLOOKUP(D2446,'ENSAIOS DE ORÇAMENTO'!$C$3:$L$79,5,FALSE)</f>
        <v>2.3575999999999997</v>
      </c>
      <c r="H2448" s="663">
        <f t="shared" ref="H2448" si="732">IF(F2448&lt;=30,(1.05*F2448+2.18)*G2448,((1.05*30+2.18)+0.87*(F2448-30))*G2448)</f>
        <v>387.07076799999999</v>
      </c>
      <c r="I2448" s="380"/>
      <c r="J2448" s="631"/>
      <c r="K2448" s="593">
        <f t="shared" si="727"/>
        <v>0</v>
      </c>
      <c r="L2448" s="594"/>
      <c r="M2448" s="600"/>
      <c r="N2448" s="600">
        <v>0</v>
      </c>
      <c r="O2448" s="287">
        <f t="shared" si="715"/>
        <v>0</v>
      </c>
      <c r="P2448" s="287">
        <f t="shared" si="716"/>
        <v>0</v>
      </c>
      <c r="Q2448" s="288"/>
      <c r="R2448" s="311" t="str">
        <f>IF(P2446&gt;0,"xy","")</f>
        <v/>
      </c>
      <c r="S2448" s="378" t="str">
        <f t="shared" si="724"/>
        <v/>
      </c>
    </row>
    <row r="2449" spans="2:19" hidden="1" x14ac:dyDescent="0.2">
      <c r="B2449" s="708" t="s">
        <v>168</v>
      </c>
      <c r="C2449" s="596"/>
      <c r="D2449" s="383" t="s">
        <v>253</v>
      </c>
      <c r="E2449" s="704"/>
      <c r="F2449" s="661">
        <v>20</v>
      </c>
      <c r="G2449" s="665">
        <f>VLOOKUP(D2446,'ENSAIOS DE ORÇAMENTO'!$C$3:$L$79,6,FALSE)</f>
        <v>2.8094099999999997</v>
      </c>
      <c r="H2449" s="663">
        <f>IF(F2449&lt;=30,(1.05*F2449+2.18)*G2449,((1.05*30+2.18)+0.87*(F2449-30))*G2449)</f>
        <v>65.122123799999997</v>
      </c>
      <c r="I2449" s="380"/>
      <c r="J2449" s="631"/>
      <c r="K2449" s="593">
        <f t="shared" si="727"/>
        <v>0</v>
      </c>
      <c r="L2449" s="594"/>
      <c r="M2449" s="600"/>
      <c r="N2449" s="600">
        <v>0</v>
      </c>
      <c r="O2449" s="287">
        <f t="shared" si="715"/>
        <v>0</v>
      </c>
      <c r="P2449" s="287">
        <f t="shared" si="716"/>
        <v>0</v>
      </c>
      <c r="Q2449" s="288"/>
      <c r="R2449" s="243" t="str">
        <f>IF(P2446&gt;0,"xy","")</f>
        <v/>
      </c>
      <c r="S2449" s="378" t="str">
        <f t="shared" si="724"/>
        <v/>
      </c>
    </row>
    <row r="2450" spans="2:19" hidden="1" x14ac:dyDescent="0.2">
      <c r="B2450" s="708" t="s">
        <v>168</v>
      </c>
      <c r="C2450" s="596"/>
      <c r="D2450" s="383" t="s">
        <v>402</v>
      </c>
      <c r="E2450" s="704"/>
      <c r="F2450" s="661">
        <v>30</v>
      </c>
      <c r="G2450" s="665">
        <f>VLOOKUP(D2446,'ENSAIOS DE ORÇAMENTO'!$C$3:$L$79,3,FALSE)</f>
        <v>0</v>
      </c>
      <c r="H2450" s="663">
        <f>IF(F2450&lt;=30,(1.05*F2450+2.18)*G2450,((1.05*30+2.18)+0.87*(F2450-30))*G2450)</f>
        <v>0</v>
      </c>
      <c r="I2450" s="380"/>
      <c r="J2450" s="631"/>
      <c r="K2450" s="593">
        <f t="shared" si="727"/>
        <v>0</v>
      </c>
      <c r="L2450" s="594"/>
      <c r="M2450" s="600"/>
      <c r="N2450" s="600">
        <v>0</v>
      </c>
      <c r="O2450" s="287">
        <f t="shared" si="715"/>
        <v>0</v>
      </c>
      <c r="P2450" s="287">
        <f t="shared" si="716"/>
        <v>0</v>
      </c>
      <c r="Q2450" s="288"/>
      <c r="R2450" s="311" t="str">
        <f>IF(P2446&gt;0,"xy","")</f>
        <v/>
      </c>
      <c r="S2450" s="378" t="str">
        <f t="shared" si="724"/>
        <v/>
      </c>
    </row>
    <row r="2451" spans="2:19" hidden="1" x14ac:dyDescent="0.2">
      <c r="B2451" s="708" t="s">
        <v>168</v>
      </c>
      <c r="C2451" s="596"/>
      <c r="D2451" s="383" t="s">
        <v>403</v>
      </c>
      <c r="E2451" s="704"/>
      <c r="F2451" s="661">
        <v>500</v>
      </c>
      <c r="G2451" s="665">
        <f>VLOOKUP(D2446,'ENSAIOS DE ORÇAMENTO'!$C$3:$L$79,10,FALSE)</f>
        <v>0</v>
      </c>
      <c r="H2451" s="663">
        <f>IF(F2451&lt;=30,(1.05*F2451+2.18)*G2451,((1.05*30+2.18)+0.87*(F2451-30))*G2451)</f>
        <v>0</v>
      </c>
      <c r="I2451" s="380"/>
      <c r="J2451" s="631"/>
      <c r="K2451" s="593">
        <f t="shared" si="727"/>
        <v>0</v>
      </c>
      <c r="L2451" s="594"/>
      <c r="M2451" s="600"/>
      <c r="N2451" s="600">
        <v>0</v>
      </c>
      <c r="O2451" s="287">
        <f t="shared" si="715"/>
        <v>0</v>
      </c>
      <c r="P2451" s="287">
        <f t="shared" si="716"/>
        <v>0</v>
      </c>
      <c r="Q2451" s="288"/>
      <c r="R2451" s="311" t="str">
        <f>IF(P2446&gt;0,"xy","")</f>
        <v/>
      </c>
      <c r="S2451" s="378" t="str">
        <f t="shared" si="724"/>
        <v/>
      </c>
    </row>
    <row r="2452" spans="2:19" hidden="1" x14ac:dyDescent="0.2">
      <c r="B2452" s="708" t="s">
        <v>48</v>
      </c>
      <c r="C2452" s="596" t="s">
        <v>207</v>
      </c>
      <c r="D2452" s="383" t="s">
        <v>160</v>
      </c>
      <c r="E2452" s="704"/>
      <c r="F2452" s="661"/>
      <c r="G2452" s="665"/>
      <c r="H2452" s="664">
        <f>SUM(H2453:H2457)</f>
        <v>791.30269582000005</v>
      </c>
      <c r="I2452" s="380">
        <f>VLOOKUP(D2452,'ENSAIOS DE ORÇAMENTO'!$C$3:$L$79,8,FALSE)</f>
        <v>6613.9201040555536</v>
      </c>
      <c r="J2452" s="631">
        <f t="shared" ref="J2452" si="733">IF(ISBLANK(I2452),"",SUM(H2452:I2452))</f>
        <v>7405.2227998755534</v>
      </c>
      <c r="K2452" s="593">
        <f t="shared" si="727"/>
        <v>9386.1200000000008</v>
      </c>
      <c r="L2452" s="594" t="s">
        <v>21</v>
      </c>
      <c r="M2452" s="30"/>
      <c r="N2452" s="30">
        <v>9386.1200000000008</v>
      </c>
      <c r="O2452" s="287">
        <f t="shared" si="715"/>
        <v>0</v>
      </c>
      <c r="P2452" s="287">
        <f t="shared" si="716"/>
        <v>0</v>
      </c>
      <c r="Q2452" s="288"/>
      <c r="S2452" s="378" t="str">
        <f t="shared" si="724"/>
        <v/>
      </c>
    </row>
    <row r="2453" spans="2:19" hidden="1" x14ac:dyDescent="0.2">
      <c r="B2453" s="708" t="s">
        <v>168</v>
      </c>
      <c r="C2453" s="596"/>
      <c r="D2453" s="383" t="s">
        <v>213</v>
      </c>
      <c r="E2453" s="704"/>
      <c r="F2453" s="661">
        <v>500</v>
      </c>
      <c r="G2453" s="665">
        <f>VLOOKUP(D2452,'ENSAIOS DE ORÇAMENTO'!$C$3:$L$79,4,FALSE)</f>
        <v>0.89753699999999992</v>
      </c>
      <c r="H2453" s="664">
        <f>IF(F2453&lt;=30,(0.75*F2453+6.29)*G2453,((0.75*30+6.29)+0.62*(F2453-30))*G2453)</f>
        <v>287.38237203</v>
      </c>
      <c r="I2453" s="380"/>
      <c r="J2453" s="631"/>
      <c r="K2453" s="593">
        <f t="shared" si="727"/>
        <v>0</v>
      </c>
      <c r="L2453" s="594"/>
      <c r="M2453" s="600"/>
      <c r="N2453" s="600">
        <v>0</v>
      </c>
      <c r="O2453" s="287">
        <f t="shared" si="715"/>
        <v>0</v>
      </c>
      <c r="P2453" s="287">
        <f t="shared" si="716"/>
        <v>0</v>
      </c>
      <c r="Q2453" s="288"/>
      <c r="R2453" s="311" t="str">
        <f>IF(P2452&gt;0,"xy","")</f>
        <v/>
      </c>
      <c r="S2453" s="378" t="str">
        <f t="shared" si="724"/>
        <v/>
      </c>
    </row>
    <row r="2454" spans="2:19" hidden="1" x14ac:dyDescent="0.2">
      <c r="B2454" s="708" t="s">
        <v>168</v>
      </c>
      <c r="C2454" s="596"/>
      <c r="D2454" s="383" t="s">
        <v>249</v>
      </c>
      <c r="E2454" s="704"/>
      <c r="F2454" s="661">
        <v>180</v>
      </c>
      <c r="G2454" s="665">
        <f>VLOOKUP(D2452,'ENSAIOS DE ORÇAMENTO'!$C$3:$L$79,5,FALSE)</f>
        <v>2.6274289999999998</v>
      </c>
      <c r="H2454" s="663">
        <f t="shared" ref="H2454" si="734">IF(F2454&lt;=30,(1.05*F2454+2.18)*G2454,((1.05*30+2.18)+0.87*(F2454-30))*G2454)</f>
        <v>431.37129321999998</v>
      </c>
      <c r="I2454" s="380"/>
      <c r="J2454" s="631"/>
      <c r="K2454" s="593">
        <f t="shared" si="727"/>
        <v>0</v>
      </c>
      <c r="L2454" s="594"/>
      <c r="M2454" s="600"/>
      <c r="N2454" s="600">
        <v>0</v>
      </c>
      <c r="O2454" s="287">
        <f t="shared" si="715"/>
        <v>0</v>
      </c>
      <c r="P2454" s="287">
        <f t="shared" si="716"/>
        <v>0</v>
      </c>
      <c r="Q2454" s="288"/>
      <c r="R2454" s="311" t="str">
        <f>IF(P2452&gt;0,"xy","")</f>
        <v/>
      </c>
      <c r="S2454" s="378" t="str">
        <f t="shared" si="724"/>
        <v/>
      </c>
    </row>
    <row r="2455" spans="2:19" hidden="1" x14ac:dyDescent="0.2">
      <c r="B2455" s="708" t="s">
        <v>168</v>
      </c>
      <c r="C2455" s="596"/>
      <c r="D2455" s="383" t="s">
        <v>253</v>
      </c>
      <c r="E2455" s="704"/>
      <c r="F2455" s="661">
        <v>20</v>
      </c>
      <c r="G2455" s="665">
        <f>VLOOKUP(D2452,'ENSAIOS DE ORÇAMENTO'!$C$3:$L$79,6,FALSE)</f>
        <v>3.1298114999999997</v>
      </c>
      <c r="H2455" s="663">
        <f>IF(F2455&lt;=30,(1.05*F2455+2.18)*G2455,((1.05*30+2.18)+0.87*(F2455-30))*G2455)</f>
        <v>72.549030569999999</v>
      </c>
      <c r="I2455" s="380"/>
      <c r="J2455" s="631"/>
      <c r="K2455" s="593">
        <f t="shared" si="727"/>
        <v>0</v>
      </c>
      <c r="L2455" s="594"/>
      <c r="M2455" s="600"/>
      <c r="N2455" s="600">
        <v>0</v>
      </c>
      <c r="O2455" s="287">
        <f t="shared" si="715"/>
        <v>0</v>
      </c>
      <c r="P2455" s="287">
        <f t="shared" si="716"/>
        <v>0</v>
      </c>
      <c r="Q2455" s="288"/>
      <c r="R2455" s="243" t="str">
        <f>IF(P2452&gt;0,"xy","")</f>
        <v/>
      </c>
      <c r="S2455" s="378" t="str">
        <f t="shared" si="724"/>
        <v/>
      </c>
    </row>
    <row r="2456" spans="2:19" hidden="1" x14ac:dyDescent="0.2">
      <c r="B2456" s="708" t="s">
        <v>168</v>
      </c>
      <c r="C2456" s="596"/>
      <c r="D2456" s="383" t="s">
        <v>402</v>
      </c>
      <c r="E2456" s="704"/>
      <c r="F2456" s="661">
        <v>30</v>
      </c>
      <c r="G2456" s="665">
        <f>VLOOKUP(D2452,'ENSAIOS DE ORÇAMENTO'!$C$3:$L$79,3,FALSE)</f>
        <v>0</v>
      </c>
      <c r="H2456" s="663">
        <f>IF(F2456&lt;=30,(1.05*F2456+2.18)*G2456,((1.05*30+2.18)+0.87*(F2456-30))*G2456)</f>
        <v>0</v>
      </c>
      <c r="I2456" s="380"/>
      <c r="J2456" s="631"/>
      <c r="K2456" s="593">
        <f t="shared" si="727"/>
        <v>0</v>
      </c>
      <c r="L2456" s="594"/>
      <c r="M2456" s="600"/>
      <c r="N2456" s="600">
        <v>0</v>
      </c>
      <c r="O2456" s="287">
        <f t="shared" si="715"/>
        <v>0</v>
      </c>
      <c r="P2456" s="287">
        <f t="shared" si="716"/>
        <v>0</v>
      </c>
      <c r="Q2456" s="288"/>
      <c r="R2456" s="311" t="str">
        <f>IF(P2452&gt;0,"xy","")</f>
        <v/>
      </c>
      <c r="S2456" s="378" t="str">
        <f t="shared" si="724"/>
        <v/>
      </c>
    </row>
    <row r="2457" spans="2:19" hidden="1" x14ac:dyDescent="0.2">
      <c r="B2457" s="708" t="s">
        <v>168</v>
      </c>
      <c r="C2457" s="596"/>
      <c r="D2457" s="383" t="s">
        <v>403</v>
      </c>
      <c r="E2457" s="704"/>
      <c r="F2457" s="661">
        <v>500</v>
      </c>
      <c r="G2457" s="665">
        <f>VLOOKUP(D2452,'ENSAIOS DE ORÇAMENTO'!$C$3:$L$79,10,FALSE)</f>
        <v>0</v>
      </c>
      <c r="H2457" s="663">
        <f>IF(F2457&lt;=30,(1.05*F2457+2.18)*G2457,((1.05*30+2.18)+0.87*(F2457-30))*G2457)</f>
        <v>0</v>
      </c>
      <c r="I2457" s="380"/>
      <c r="J2457" s="631"/>
      <c r="K2457" s="593">
        <f t="shared" si="727"/>
        <v>0</v>
      </c>
      <c r="L2457" s="594"/>
      <c r="M2457" s="600"/>
      <c r="N2457" s="600">
        <v>0</v>
      </c>
      <c r="O2457" s="287">
        <f t="shared" si="715"/>
        <v>0</v>
      </c>
      <c r="P2457" s="287">
        <f t="shared" si="716"/>
        <v>0</v>
      </c>
      <c r="Q2457" s="288"/>
      <c r="R2457" s="311" t="str">
        <f>IF(P2452&gt;0,"xy","")</f>
        <v/>
      </c>
      <c r="S2457" s="378" t="str">
        <f t="shared" si="724"/>
        <v/>
      </c>
    </row>
    <row r="2458" spans="2:19" hidden="1" x14ac:dyDescent="0.2">
      <c r="B2458" s="708" t="s">
        <v>49</v>
      </c>
      <c r="C2458" s="596" t="s">
        <v>207</v>
      </c>
      <c r="D2458" s="383" t="s">
        <v>161</v>
      </c>
      <c r="E2458" s="704"/>
      <c r="F2458" s="661"/>
      <c r="G2458" s="665"/>
      <c r="H2458" s="664">
        <f>SUM(H2459:H2463)</f>
        <v>983.47469299299996</v>
      </c>
      <c r="I2458" s="380">
        <f>VLOOKUP(D2458,'ENSAIOS DE ORÇAMENTO'!$C$3:$L$79,8,FALSE)</f>
        <v>8057.8883052194424</v>
      </c>
      <c r="J2458" s="631">
        <f t="shared" ref="J2458" si="735">IF(ISBLANK(I2458),"",SUM(H2458:I2458))</f>
        <v>9041.3629982124421</v>
      </c>
      <c r="K2458" s="593">
        <f t="shared" si="727"/>
        <v>11459.93</v>
      </c>
      <c r="L2458" s="594" t="s">
        <v>21</v>
      </c>
      <c r="M2458" s="30"/>
      <c r="N2458" s="30">
        <v>11459.93</v>
      </c>
      <c r="O2458" s="287">
        <f t="shared" si="715"/>
        <v>0</v>
      </c>
      <c r="P2458" s="287">
        <f t="shared" si="716"/>
        <v>0</v>
      </c>
      <c r="Q2458" s="288"/>
      <c r="S2458" s="378" t="str">
        <f t="shared" si="724"/>
        <v/>
      </c>
    </row>
    <row r="2459" spans="2:19" hidden="1" x14ac:dyDescent="0.2">
      <c r="B2459" s="708" t="s">
        <v>168</v>
      </c>
      <c r="C2459" s="596"/>
      <c r="D2459" s="383" t="s">
        <v>213</v>
      </c>
      <c r="E2459" s="704"/>
      <c r="F2459" s="661">
        <v>500</v>
      </c>
      <c r="G2459" s="665">
        <f>VLOOKUP(D2458,'ENSAIOS DE ORÇAMENTO'!$C$3:$L$79,4,FALSE)</f>
        <v>1.1179675499999999</v>
      </c>
      <c r="H2459" s="664">
        <f>IF(F2459&lt;=30,(0.75*F2459+6.29)*G2459,((0.75*30+6.29)+0.62*(F2459-30))*G2459)</f>
        <v>357.96202983449996</v>
      </c>
      <c r="I2459" s="380"/>
      <c r="J2459" s="631"/>
      <c r="K2459" s="593">
        <f t="shared" si="727"/>
        <v>0</v>
      </c>
      <c r="L2459" s="594"/>
      <c r="M2459" s="600"/>
      <c r="N2459" s="600">
        <v>0</v>
      </c>
      <c r="O2459" s="287">
        <f t="shared" si="715"/>
        <v>0</v>
      </c>
      <c r="P2459" s="287">
        <f t="shared" si="716"/>
        <v>0</v>
      </c>
      <c r="Q2459" s="288"/>
      <c r="R2459" s="311" t="str">
        <f>IF(P2458&gt;0,"xy","")</f>
        <v/>
      </c>
      <c r="S2459" s="378" t="str">
        <f t="shared" si="724"/>
        <v/>
      </c>
    </row>
    <row r="2460" spans="2:19" hidden="1" x14ac:dyDescent="0.2">
      <c r="B2460" s="708" t="s">
        <v>168</v>
      </c>
      <c r="C2460" s="596"/>
      <c r="D2460" s="383" t="s">
        <v>249</v>
      </c>
      <c r="E2460" s="704"/>
      <c r="F2460" s="661">
        <v>180</v>
      </c>
      <c r="G2460" s="665">
        <f>VLOOKUP(D2458,'ENSAIOS DE ORÇAMENTO'!$C$3:$L$79,5,FALSE)</f>
        <v>3.2610033499999997</v>
      </c>
      <c r="H2460" s="663">
        <f t="shared" ref="H2460" si="736">IF(F2460&lt;=30,(1.05*F2460+2.18)*G2460,((1.05*30+2.18)+0.87*(F2460-30))*G2460)</f>
        <v>535.39153000299996</v>
      </c>
      <c r="I2460" s="380"/>
      <c r="J2460" s="631"/>
      <c r="K2460" s="593">
        <f t="shared" si="727"/>
        <v>0</v>
      </c>
      <c r="L2460" s="594"/>
      <c r="M2460" s="600"/>
      <c r="N2460" s="600">
        <v>0</v>
      </c>
      <c r="O2460" s="287">
        <f t="shared" si="715"/>
        <v>0</v>
      </c>
      <c r="P2460" s="287">
        <f t="shared" si="716"/>
        <v>0</v>
      </c>
      <c r="Q2460" s="288"/>
      <c r="R2460" s="311" t="str">
        <f>IF(P2458&gt;0,"xy","")</f>
        <v/>
      </c>
      <c r="S2460" s="378" t="str">
        <f t="shared" si="724"/>
        <v/>
      </c>
    </row>
    <row r="2461" spans="2:19" hidden="1" x14ac:dyDescent="0.2">
      <c r="B2461" s="708" t="s">
        <v>168</v>
      </c>
      <c r="C2461" s="596"/>
      <c r="D2461" s="383" t="s">
        <v>253</v>
      </c>
      <c r="E2461" s="704"/>
      <c r="F2461" s="661">
        <v>20</v>
      </c>
      <c r="G2461" s="665">
        <f>VLOOKUP(D2458,'ENSAIOS DE ORÇAMENTO'!$C$3:$L$79,6,FALSE)</f>
        <v>3.8878832249999999</v>
      </c>
      <c r="H2461" s="663">
        <f>IF(F2461&lt;=30,(1.05*F2461+2.18)*G2461,((1.05*30+2.18)+0.87*(F2461-30))*G2461)</f>
        <v>90.121133155500004</v>
      </c>
      <c r="I2461" s="380"/>
      <c r="J2461" s="631"/>
      <c r="K2461" s="593">
        <f t="shared" si="727"/>
        <v>0</v>
      </c>
      <c r="L2461" s="594"/>
      <c r="M2461" s="600"/>
      <c r="N2461" s="600">
        <v>0</v>
      </c>
      <c r="O2461" s="287">
        <f t="shared" si="715"/>
        <v>0</v>
      </c>
      <c r="P2461" s="287">
        <f t="shared" si="716"/>
        <v>0</v>
      </c>
      <c r="Q2461" s="288"/>
      <c r="R2461" s="243" t="str">
        <f>IF(P2458&gt;0,"xy","")</f>
        <v/>
      </c>
      <c r="S2461" s="378" t="str">
        <f t="shared" si="724"/>
        <v/>
      </c>
    </row>
    <row r="2462" spans="2:19" hidden="1" x14ac:dyDescent="0.2">
      <c r="B2462" s="708" t="s">
        <v>168</v>
      </c>
      <c r="C2462" s="596"/>
      <c r="D2462" s="383" t="s">
        <v>402</v>
      </c>
      <c r="E2462" s="704"/>
      <c r="F2462" s="661">
        <v>30</v>
      </c>
      <c r="G2462" s="665">
        <f>VLOOKUP(D2458,'ENSAIOS DE ORÇAMENTO'!$C$3:$L$79,3,FALSE)</f>
        <v>0</v>
      </c>
      <c r="H2462" s="663">
        <f>IF(F2462&lt;=30,(1.05*F2462+2.18)*G2462,((1.05*30+2.18)+0.87*(F2462-30))*G2462)</f>
        <v>0</v>
      </c>
      <c r="I2462" s="380"/>
      <c r="J2462" s="631"/>
      <c r="K2462" s="593">
        <f t="shared" si="727"/>
        <v>0</v>
      </c>
      <c r="L2462" s="594"/>
      <c r="M2462" s="600"/>
      <c r="N2462" s="600">
        <v>0</v>
      </c>
      <c r="O2462" s="287">
        <f t="shared" si="715"/>
        <v>0</v>
      </c>
      <c r="P2462" s="287">
        <f t="shared" si="716"/>
        <v>0</v>
      </c>
      <c r="Q2462" s="288"/>
      <c r="R2462" s="311" t="str">
        <f>IF(P2458&gt;0,"xy","")</f>
        <v/>
      </c>
      <c r="S2462" s="378" t="str">
        <f t="shared" si="724"/>
        <v/>
      </c>
    </row>
    <row r="2463" spans="2:19" hidden="1" x14ac:dyDescent="0.2">
      <c r="B2463" s="708" t="s">
        <v>168</v>
      </c>
      <c r="C2463" s="596"/>
      <c r="D2463" s="383" t="s">
        <v>403</v>
      </c>
      <c r="E2463" s="704"/>
      <c r="F2463" s="661">
        <v>500</v>
      </c>
      <c r="G2463" s="665">
        <f>VLOOKUP(D2458,'ENSAIOS DE ORÇAMENTO'!$C$3:$L$79,10,FALSE)</f>
        <v>0</v>
      </c>
      <c r="H2463" s="663">
        <f>IF(F2463&lt;=30,(1.05*F2463+2.18)*G2463,((1.05*30+2.18)+0.87*(F2463-30))*G2463)</f>
        <v>0</v>
      </c>
      <c r="I2463" s="380"/>
      <c r="J2463" s="631"/>
      <c r="K2463" s="593">
        <f t="shared" si="727"/>
        <v>0</v>
      </c>
      <c r="L2463" s="594"/>
      <c r="M2463" s="600"/>
      <c r="N2463" s="600">
        <v>0</v>
      </c>
      <c r="O2463" s="287">
        <f t="shared" si="715"/>
        <v>0</v>
      </c>
      <c r="P2463" s="287">
        <f t="shared" si="716"/>
        <v>0</v>
      </c>
      <c r="Q2463" s="288"/>
      <c r="R2463" s="311" t="str">
        <f>IF(P2458&gt;0,"xy","")</f>
        <v/>
      </c>
      <c r="S2463" s="378" t="str">
        <f t="shared" si="724"/>
        <v/>
      </c>
    </row>
    <row r="2464" spans="2:19" hidden="1" x14ac:dyDescent="0.2">
      <c r="B2464" s="708" t="s">
        <v>50</v>
      </c>
      <c r="C2464" s="596" t="s">
        <v>207</v>
      </c>
      <c r="D2464" s="383" t="s">
        <v>424</v>
      </c>
      <c r="E2464" s="704"/>
      <c r="F2464" s="661"/>
      <c r="G2464" s="665"/>
      <c r="H2464" s="664">
        <f>SUM(H2465:H2469)</f>
        <v>96.36737748000003</v>
      </c>
      <c r="I2464" s="380">
        <f>VLOOKUP(D2464,'ENSAIOS DE ORÇAMENTO'!$C$3:$L$79,8,FALSE)</f>
        <v>938.21280000000002</v>
      </c>
      <c r="J2464" s="631">
        <f t="shared" ref="J2464" si="737">IF(ISBLANK(I2464),"",SUM(H2464:I2464))</f>
        <v>1034.58017748</v>
      </c>
      <c r="K2464" s="593">
        <f t="shared" si="727"/>
        <v>1311.33</v>
      </c>
      <c r="L2464" s="594" t="s">
        <v>21</v>
      </c>
      <c r="M2464" s="30"/>
      <c r="N2464" s="30">
        <v>1311.33</v>
      </c>
      <c r="O2464" s="287">
        <f t="shared" si="715"/>
        <v>0</v>
      </c>
      <c r="P2464" s="287">
        <f t="shared" si="716"/>
        <v>0</v>
      </c>
      <c r="Q2464" s="288"/>
      <c r="S2464" s="378" t="str">
        <f t="shared" si="724"/>
        <v/>
      </c>
    </row>
    <row r="2465" spans="2:19" hidden="1" x14ac:dyDescent="0.2">
      <c r="B2465" s="708" t="s">
        <v>168</v>
      </c>
      <c r="C2465" s="596"/>
      <c r="D2465" s="383" t="s">
        <v>213</v>
      </c>
      <c r="E2465" s="704"/>
      <c r="F2465" s="661">
        <v>500</v>
      </c>
      <c r="G2465" s="665">
        <f>VLOOKUP(D2464,'ENSAIOS DE ORÇAMENTO'!$C$3:$L$79,4,FALSE)</f>
        <v>0.11253000000000002</v>
      </c>
      <c r="H2465" s="664">
        <f>IF(F2465&lt;=30,(0.75*F2465+6.29)*G2465,((0.75*30+6.29)+0.62*(F2465-30))*G2465)</f>
        <v>36.030980700000008</v>
      </c>
      <c r="I2465" s="380"/>
      <c r="J2465" s="631"/>
      <c r="K2465" s="593">
        <f t="shared" si="727"/>
        <v>0</v>
      </c>
      <c r="L2465" s="594"/>
      <c r="M2465" s="600"/>
      <c r="N2465" s="600">
        <v>0</v>
      </c>
      <c r="O2465" s="287">
        <f t="shared" si="715"/>
        <v>0</v>
      </c>
      <c r="P2465" s="287">
        <f t="shared" si="716"/>
        <v>0</v>
      </c>
      <c r="Q2465" s="288"/>
      <c r="R2465" s="311" t="str">
        <f>IF(P2464&gt;0,"xy","")</f>
        <v/>
      </c>
      <c r="S2465" s="378" t="str">
        <f t="shared" si="724"/>
        <v/>
      </c>
    </row>
    <row r="2466" spans="2:19" hidden="1" x14ac:dyDescent="0.2">
      <c r="B2466" s="708" t="s">
        <v>168</v>
      </c>
      <c r="C2466" s="596"/>
      <c r="D2466" s="383" t="s">
        <v>249</v>
      </c>
      <c r="E2466" s="704"/>
      <c r="F2466" s="661">
        <v>180</v>
      </c>
      <c r="G2466" s="665">
        <f>VLOOKUP(D2464,'ENSAIOS DE ORÇAMENTO'!$C$3:$L$79,5,FALSE)</f>
        <v>0.31406100000000003</v>
      </c>
      <c r="H2466" s="663">
        <f t="shared" ref="H2466" si="738">IF(F2466&lt;=30,(1.05*F2466+2.18)*G2466,((1.05*30+2.18)+0.87*(F2466-30))*G2466)</f>
        <v>51.562534980000009</v>
      </c>
      <c r="I2466" s="380"/>
      <c r="J2466" s="631"/>
      <c r="K2466" s="593">
        <f t="shared" si="727"/>
        <v>0</v>
      </c>
      <c r="L2466" s="594"/>
      <c r="M2466" s="600"/>
      <c r="N2466" s="600">
        <v>0</v>
      </c>
      <c r="O2466" s="287">
        <f t="shared" si="715"/>
        <v>0</v>
      </c>
      <c r="P2466" s="287">
        <f t="shared" si="716"/>
        <v>0</v>
      </c>
      <c r="Q2466" s="288"/>
      <c r="R2466" s="311" t="str">
        <f>IF(P2464&gt;0,"xy","")</f>
        <v/>
      </c>
      <c r="S2466" s="378" t="str">
        <f t="shared" si="724"/>
        <v/>
      </c>
    </row>
    <row r="2467" spans="2:19" hidden="1" x14ac:dyDescent="0.2">
      <c r="B2467" s="708" t="s">
        <v>168</v>
      </c>
      <c r="C2467" s="596"/>
      <c r="D2467" s="383" t="s">
        <v>253</v>
      </c>
      <c r="E2467" s="704"/>
      <c r="F2467" s="661">
        <v>20</v>
      </c>
      <c r="G2467" s="665">
        <f>VLOOKUP(D2464,'ENSAIOS DE ORÇAMENTO'!$C$3:$L$79,6,FALSE)</f>
        <v>0.37851000000000007</v>
      </c>
      <c r="H2467" s="663">
        <f>IF(F2467&lt;=30,(1.05*F2467+2.18)*G2467,((1.05*30+2.18)+0.87*(F2467-30))*G2467)</f>
        <v>8.7738618000000006</v>
      </c>
      <c r="I2467" s="380"/>
      <c r="J2467" s="631"/>
      <c r="K2467" s="593">
        <f t="shared" si="727"/>
        <v>0</v>
      </c>
      <c r="L2467" s="594"/>
      <c r="M2467" s="600"/>
      <c r="N2467" s="600">
        <v>0</v>
      </c>
      <c r="O2467" s="287">
        <f t="shared" si="715"/>
        <v>0</v>
      </c>
      <c r="P2467" s="287">
        <f t="shared" si="716"/>
        <v>0</v>
      </c>
      <c r="Q2467" s="288"/>
      <c r="R2467" s="243" t="str">
        <f>IF(P2464&gt;0,"xy","")</f>
        <v/>
      </c>
      <c r="S2467" s="378" t="str">
        <f t="shared" si="724"/>
        <v/>
      </c>
    </row>
    <row r="2468" spans="2:19" hidden="1" x14ac:dyDescent="0.2">
      <c r="B2468" s="708" t="s">
        <v>168</v>
      </c>
      <c r="C2468" s="596"/>
      <c r="D2468" s="383" t="s">
        <v>402</v>
      </c>
      <c r="E2468" s="704"/>
      <c r="F2468" s="661">
        <v>30</v>
      </c>
      <c r="G2468" s="665">
        <f>VLOOKUP(D2464,'ENSAIOS DE ORÇAMENTO'!$C$3:$L$79,3,FALSE)</f>
        <v>0</v>
      </c>
      <c r="H2468" s="663">
        <f>IF(F2468&lt;=30,(1.05*F2468+2.18)*G2468,((1.05*30+2.18)+0.87*(F2468-30))*G2468)</f>
        <v>0</v>
      </c>
      <c r="I2468" s="380"/>
      <c r="J2468" s="631"/>
      <c r="K2468" s="593">
        <f t="shared" si="727"/>
        <v>0</v>
      </c>
      <c r="L2468" s="594"/>
      <c r="M2468" s="600"/>
      <c r="N2468" s="600">
        <v>0</v>
      </c>
      <c r="O2468" s="287">
        <f t="shared" si="715"/>
        <v>0</v>
      </c>
      <c r="P2468" s="287">
        <f t="shared" si="716"/>
        <v>0</v>
      </c>
      <c r="Q2468" s="288"/>
      <c r="R2468" s="311" t="str">
        <f>IF(P2464&gt;0,"xy","")</f>
        <v/>
      </c>
      <c r="S2468" s="378" t="str">
        <f t="shared" si="724"/>
        <v/>
      </c>
    </row>
    <row r="2469" spans="2:19" hidden="1" x14ac:dyDescent="0.2">
      <c r="B2469" s="708" t="s">
        <v>168</v>
      </c>
      <c r="C2469" s="596"/>
      <c r="D2469" s="383" t="s">
        <v>403</v>
      </c>
      <c r="E2469" s="704"/>
      <c r="F2469" s="661">
        <v>500</v>
      </c>
      <c r="G2469" s="665">
        <f>VLOOKUP(D2464,'ENSAIOS DE ORÇAMENTO'!$C$3:$L$79,10,FALSE)</f>
        <v>0</v>
      </c>
      <c r="H2469" s="663">
        <f>IF(F2469&lt;=30,(1.05*F2469+2.18)*G2469,((1.05*30+2.18)+0.87*(F2469-30))*G2469)</f>
        <v>0</v>
      </c>
      <c r="I2469" s="380"/>
      <c r="J2469" s="631"/>
      <c r="K2469" s="593">
        <f t="shared" si="727"/>
        <v>0</v>
      </c>
      <c r="L2469" s="594"/>
      <c r="M2469" s="600"/>
      <c r="N2469" s="600">
        <v>0</v>
      </c>
      <c r="O2469" s="287">
        <f t="shared" si="715"/>
        <v>0</v>
      </c>
      <c r="P2469" s="287">
        <f t="shared" si="716"/>
        <v>0</v>
      </c>
      <c r="Q2469" s="288"/>
      <c r="R2469" s="311" t="str">
        <f>IF(P2464&gt;0,"xy","")</f>
        <v/>
      </c>
      <c r="S2469" s="378" t="str">
        <f t="shared" si="724"/>
        <v/>
      </c>
    </row>
    <row r="2470" spans="2:19" hidden="1" x14ac:dyDescent="0.2">
      <c r="B2470" s="708" t="s">
        <v>51</v>
      </c>
      <c r="C2470" s="596" t="s">
        <v>207</v>
      </c>
      <c r="D2470" s="383" t="s">
        <v>425</v>
      </c>
      <c r="E2470" s="704"/>
      <c r="F2470" s="661"/>
      <c r="G2470" s="665"/>
      <c r="H2470" s="664">
        <f>SUM(H2471:H2475)</f>
        <v>104.84544588000003</v>
      </c>
      <c r="I2470" s="380">
        <f>VLOOKUP(D2470,'ENSAIOS DE ORÇAMENTO'!$C$3:$L$79,8,FALSE)</f>
        <v>1044.6030999999998</v>
      </c>
      <c r="J2470" s="631">
        <f t="shared" ref="J2470" si="739">IF(ISBLANK(I2470),"",SUM(H2470:I2470))</f>
        <v>1149.4485458799998</v>
      </c>
      <c r="K2470" s="593">
        <f t="shared" si="727"/>
        <v>1456.93</v>
      </c>
      <c r="L2470" s="594" t="s">
        <v>21</v>
      </c>
      <c r="M2470" s="30"/>
      <c r="N2470" s="30">
        <v>1456.93</v>
      </c>
      <c r="O2470" s="287">
        <f t="shared" si="715"/>
        <v>0</v>
      </c>
      <c r="P2470" s="287">
        <f t="shared" si="716"/>
        <v>0</v>
      </c>
      <c r="Q2470" s="288"/>
      <c r="S2470" s="378" t="str">
        <f t="shared" si="724"/>
        <v/>
      </c>
    </row>
    <row r="2471" spans="2:19" hidden="1" x14ac:dyDescent="0.2">
      <c r="B2471" s="708" t="s">
        <v>168</v>
      </c>
      <c r="C2471" s="596"/>
      <c r="D2471" s="383" t="s">
        <v>213</v>
      </c>
      <c r="E2471" s="704"/>
      <c r="F2471" s="661">
        <v>500</v>
      </c>
      <c r="G2471" s="665">
        <f>VLOOKUP(D2470,'ENSAIOS DE ORÇAMENTO'!$C$3:$L$79,4,FALSE)</f>
        <v>0.12243000000000002</v>
      </c>
      <c r="H2471" s="664">
        <f>IF(F2471&lt;=30,(0.75*F2471+6.29)*G2471,((0.75*30+6.29)+0.62*(F2471-30))*G2471)</f>
        <v>39.200861700000004</v>
      </c>
      <c r="I2471" s="380"/>
      <c r="J2471" s="631"/>
      <c r="K2471" s="593">
        <f t="shared" si="727"/>
        <v>0</v>
      </c>
      <c r="L2471" s="594"/>
      <c r="M2471" s="600"/>
      <c r="N2471" s="600">
        <v>0</v>
      </c>
      <c r="O2471" s="287">
        <f t="shared" ref="O2471:O2534" si="740">IF(ISBLANK(M2471),0,ROUND(K2471*M2471,2))</f>
        <v>0</v>
      </c>
      <c r="P2471" s="287">
        <f t="shared" ref="P2471:P2534" si="741">IF(ISBLANK(N2471),0,ROUND(M2471*N2471,2))</f>
        <v>0</v>
      </c>
      <c r="Q2471" s="288"/>
      <c r="R2471" s="311" t="str">
        <f>IF(P2470&gt;0,"xy","")</f>
        <v/>
      </c>
      <c r="S2471" s="378" t="str">
        <f t="shared" si="724"/>
        <v/>
      </c>
    </row>
    <row r="2472" spans="2:19" hidden="1" x14ac:dyDescent="0.2">
      <c r="B2472" s="708" t="s">
        <v>168</v>
      </c>
      <c r="C2472" s="596"/>
      <c r="D2472" s="383" t="s">
        <v>249</v>
      </c>
      <c r="E2472" s="704"/>
      <c r="F2472" s="661">
        <v>180</v>
      </c>
      <c r="G2472" s="665">
        <f>VLOOKUP(D2470,'ENSAIOS DE ORÇAMENTO'!$C$3:$L$79,5,FALSE)</f>
        <v>0.34169100000000008</v>
      </c>
      <c r="H2472" s="663">
        <f t="shared" ref="H2472" si="742">IF(F2472&lt;=30,(1.05*F2472+2.18)*G2472,((1.05*30+2.18)+0.87*(F2472-30))*G2472)</f>
        <v>56.098828380000015</v>
      </c>
      <c r="I2472" s="380"/>
      <c r="J2472" s="631"/>
      <c r="K2472" s="593">
        <f t="shared" si="727"/>
        <v>0</v>
      </c>
      <c r="L2472" s="594"/>
      <c r="M2472" s="600"/>
      <c r="N2472" s="600">
        <v>0</v>
      </c>
      <c r="O2472" s="287">
        <f t="shared" si="740"/>
        <v>0</v>
      </c>
      <c r="P2472" s="287">
        <f t="shared" si="741"/>
        <v>0</v>
      </c>
      <c r="Q2472" s="288"/>
      <c r="R2472" s="311" t="str">
        <f>IF(P2470&gt;0,"xy","")</f>
        <v/>
      </c>
      <c r="S2472" s="378" t="str">
        <f t="shared" si="724"/>
        <v/>
      </c>
    </row>
    <row r="2473" spans="2:19" hidden="1" x14ac:dyDescent="0.2">
      <c r="B2473" s="708" t="s">
        <v>168</v>
      </c>
      <c r="C2473" s="596"/>
      <c r="D2473" s="383" t="s">
        <v>253</v>
      </c>
      <c r="E2473" s="704"/>
      <c r="F2473" s="661">
        <v>20</v>
      </c>
      <c r="G2473" s="665">
        <f>VLOOKUP(D2470,'ENSAIOS DE ORÇAMENTO'!$C$3:$L$79,6,FALSE)</f>
        <v>0.41181000000000012</v>
      </c>
      <c r="H2473" s="663">
        <f>IF(F2473&lt;=30,(1.05*F2473+2.18)*G2473,((1.05*30+2.18)+0.87*(F2473-30))*G2473)</f>
        <v>9.545755800000002</v>
      </c>
      <c r="I2473" s="380"/>
      <c r="J2473" s="631"/>
      <c r="K2473" s="593">
        <f t="shared" si="727"/>
        <v>0</v>
      </c>
      <c r="L2473" s="594"/>
      <c r="M2473" s="600"/>
      <c r="N2473" s="600">
        <v>0</v>
      </c>
      <c r="O2473" s="287">
        <f t="shared" si="740"/>
        <v>0</v>
      </c>
      <c r="P2473" s="287">
        <f t="shared" si="741"/>
        <v>0</v>
      </c>
      <c r="Q2473" s="288"/>
      <c r="R2473" s="243" t="str">
        <f>IF(P2470&gt;0,"xy","")</f>
        <v/>
      </c>
      <c r="S2473" s="378" t="str">
        <f t="shared" si="724"/>
        <v/>
      </c>
    </row>
    <row r="2474" spans="2:19" hidden="1" x14ac:dyDescent="0.2">
      <c r="B2474" s="708" t="s">
        <v>168</v>
      </c>
      <c r="C2474" s="596"/>
      <c r="D2474" s="383" t="s">
        <v>402</v>
      </c>
      <c r="E2474" s="704"/>
      <c r="F2474" s="661">
        <v>30</v>
      </c>
      <c r="G2474" s="665">
        <f>VLOOKUP(D2470,'ENSAIOS DE ORÇAMENTO'!$C$3:$L$79,3,FALSE)</f>
        <v>0</v>
      </c>
      <c r="H2474" s="663">
        <f>IF(F2474&lt;=30,(1.05*F2474+2.18)*G2474,((1.05*30+2.18)+0.87*(F2474-30))*G2474)</f>
        <v>0</v>
      </c>
      <c r="I2474" s="380"/>
      <c r="J2474" s="631"/>
      <c r="K2474" s="593">
        <f t="shared" si="727"/>
        <v>0</v>
      </c>
      <c r="L2474" s="594"/>
      <c r="M2474" s="600"/>
      <c r="N2474" s="600">
        <v>0</v>
      </c>
      <c r="O2474" s="287">
        <f t="shared" si="740"/>
        <v>0</v>
      </c>
      <c r="P2474" s="287">
        <f t="shared" si="741"/>
        <v>0</v>
      </c>
      <c r="Q2474" s="288"/>
      <c r="R2474" s="311" t="str">
        <f>IF(P2470&gt;0,"xy","")</f>
        <v/>
      </c>
      <c r="S2474" s="378" t="str">
        <f t="shared" si="724"/>
        <v/>
      </c>
    </row>
    <row r="2475" spans="2:19" hidden="1" x14ac:dyDescent="0.2">
      <c r="B2475" s="708" t="s">
        <v>168</v>
      </c>
      <c r="C2475" s="596"/>
      <c r="D2475" s="383" t="s">
        <v>403</v>
      </c>
      <c r="E2475" s="704"/>
      <c r="F2475" s="661">
        <v>500</v>
      </c>
      <c r="G2475" s="665">
        <f>VLOOKUP(D2470,'ENSAIOS DE ORÇAMENTO'!$C$3:$L$79,10,FALSE)</f>
        <v>0</v>
      </c>
      <c r="H2475" s="663">
        <f>IF(F2475&lt;=30,(1.05*F2475+2.18)*G2475,((1.05*30+2.18)+0.87*(F2475-30))*G2475)</f>
        <v>0</v>
      </c>
      <c r="I2475" s="380"/>
      <c r="J2475" s="631"/>
      <c r="K2475" s="593">
        <f t="shared" si="727"/>
        <v>0</v>
      </c>
      <c r="L2475" s="594"/>
      <c r="M2475" s="600"/>
      <c r="N2475" s="600">
        <v>0</v>
      </c>
      <c r="O2475" s="287">
        <f t="shared" si="740"/>
        <v>0</v>
      </c>
      <c r="P2475" s="287">
        <f t="shared" si="741"/>
        <v>0</v>
      </c>
      <c r="Q2475" s="288"/>
      <c r="R2475" s="311" t="str">
        <f>IF(P2470&gt;0,"xy","")</f>
        <v/>
      </c>
      <c r="S2475" s="378" t="str">
        <f t="shared" si="724"/>
        <v/>
      </c>
    </row>
    <row r="2476" spans="2:19" hidden="1" x14ac:dyDescent="0.2">
      <c r="B2476" s="708" t="s">
        <v>52</v>
      </c>
      <c r="C2476" s="596" t="s">
        <v>207</v>
      </c>
      <c r="D2476" s="383" t="s">
        <v>426</v>
      </c>
      <c r="E2476" s="704"/>
      <c r="F2476" s="661"/>
      <c r="G2476" s="665"/>
      <c r="H2476" s="664">
        <f>SUM(H2477:H2481)</f>
        <v>113.32351428000001</v>
      </c>
      <c r="I2476" s="380">
        <f>VLOOKUP(D2476,'ENSAIOS DE ORÇAMENTO'!$C$3:$L$79,8,FALSE)</f>
        <v>1169.5282999999999</v>
      </c>
      <c r="J2476" s="631">
        <f t="shared" ref="J2476" si="743">IF(ISBLANK(I2476),"",SUM(H2476:I2476))</f>
        <v>1282.8518142799999</v>
      </c>
      <c r="K2476" s="593">
        <f t="shared" si="727"/>
        <v>1626.01</v>
      </c>
      <c r="L2476" s="594" t="s">
        <v>21</v>
      </c>
      <c r="M2476" s="30"/>
      <c r="N2476" s="30">
        <v>1626.01</v>
      </c>
      <c r="O2476" s="287">
        <f t="shared" si="740"/>
        <v>0</v>
      </c>
      <c r="P2476" s="287">
        <f t="shared" si="741"/>
        <v>0</v>
      </c>
      <c r="Q2476" s="288"/>
      <c r="S2476" s="378" t="str">
        <f t="shared" si="724"/>
        <v/>
      </c>
    </row>
    <row r="2477" spans="2:19" hidden="1" x14ac:dyDescent="0.2">
      <c r="B2477" s="708" t="s">
        <v>168</v>
      </c>
      <c r="C2477" s="596"/>
      <c r="D2477" s="383" t="s">
        <v>213</v>
      </c>
      <c r="E2477" s="704"/>
      <c r="F2477" s="661">
        <v>500</v>
      </c>
      <c r="G2477" s="665">
        <f>VLOOKUP(D2476,'ENSAIOS DE ORÇAMENTO'!$C$3:$L$79,4,FALSE)</f>
        <v>0.13233</v>
      </c>
      <c r="H2477" s="664">
        <f>IF(F2477&lt;=30,(0.75*F2477+6.29)*G2477,((0.75*30+6.29)+0.62*(F2477-30))*G2477)</f>
        <v>42.370742700000001</v>
      </c>
      <c r="I2477" s="380"/>
      <c r="J2477" s="631"/>
      <c r="K2477" s="593">
        <f t="shared" si="727"/>
        <v>0</v>
      </c>
      <c r="L2477" s="594"/>
      <c r="M2477" s="600"/>
      <c r="N2477" s="600">
        <v>0</v>
      </c>
      <c r="O2477" s="287">
        <f t="shared" si="740"/>
        <v>0</v>
      </c>
      <c r="P2477" s="287">
        <f t="shared" si="741"/>
        <v>0</v>
      </c>
      <c r="Q2477" s="288"/>
      <c r="R2477" s="311" t="str">
        <f>IF(P2476&gt;0,"xy","")</f>
        <v/>
      </c>
      <c r="S2477" s="378" t="str">
        <f t="shared" si="724"/>
        <v/>
      </c>
    </row>
    <row r="2478" spans="2:19" hidden="1" x14ac:dyDescent="0.2">
      <c r="B2478" s="708" t="s">
        <v>168</v>
      </c>
      <c r="C2478" s="596"/>
      <c r="D2478" s="383" t="s">
        <v>249</v>
      </c>
      <c r="E2478" s="704"/>
      <c r="F2478" s="661">
        <v>180</v>
      </c>
      <c r="G2478" s="665">
        <f>VLOOKUP(D2476,'ENSAIOS DE ORÇAMENTO'!$C$3:$L$79,5,FALSE)</f>
        <v>0.36932100000000001</v>
      </c>
      <c r="H2478" s="663">
        <f t="shared" ref="H2478" si="744">IF(F2478&lt;=30,(1.05*F2478+2.18)*G2478,((1.05*30+2.18)+0.87*(F2478-30))*G2478)</f>
        <v>60.635121780000006</v>
      </c>
      <c r="I2478" s="380"/>
      <c r="J2478" s="631"/>
      <c r="K2478" s="593">
        <f t="shared" si="727"/>
        <v>0</v>
      </c>
      <c r="L2478" s="594"/>
      <c r="M2478" s="600"/>
      <c r="N2478" s="600">
        <v>0</v>
      </c>
      <c r="O2478" s="287">
        <f t="shared" si="740"/>
        <v>0</v>
      </c>
      <c r="P2478" s="287">
        <f t="shared" si="741"/>
        <v>0</v>
      </c>
      <c r="Q2478" s="288"/>
      <c r="R2478" s="311" t="str">
        <f>IF(P2476&gt;0,"xy","")</f>
        <v/>
      </c>
      <c r="S2478" s="378" t="str">
        <f t="shared" si="724"/>
        <v/>
      </c>
    </row>
    <row r="2479" spans="2:19" hidden="1" x14ac:dyDescent="0.2">
      <c r="B2479" s="708" t="s">
        <v>168</v>
      </c>
      <c r="C2479" s="596"/>
      <c r="D2479" s="383" t="s">
        <v>253</v>
      </c>
      <c r="E2479" s="704"/>
      <c r="F2479" s="661">
        <v>20</v>
      </c>
      <c r="G2479" s="665">
        <f>VLOOKUP(D2476,'ENSAIOS DE ORÇAMENTO'!$C$3:$L$79,6,FALSE)</f>
        <v>0.44511000000000006</v>
      </c>
      <c r="H2479" s="663">
        <f>IF(F2479&lt;=30,(1.05*F2479+2.18)*G2479,((1.05*30+2.18)+0.87*(F2479-30))*G2479)</f>
        <v>10.317649800000002</v>
      </c>
      <c r="I2479" s="380"/>
      <c r="J2479" s="631"/>
      <c r="K2479" s="593">
        <f t="shared" si="727"/>
        <v>0</v>
      </c>
      <c r="L2479" s="594"/>
      <c r="M2479" s="600"/>
      <c r="N2479" s="600">
        <v>0</v>
      </c>
      <c r="O2479" s="287">
        <f t="shared" si="740"/>
        <v>0</v>
      </c>
      <c r="P2479" s="287">
        <f t="shared" si="741"/>
        <v>0</v>
      </c>
      <c r="Q2479" s="288"/>
      <c r="R2479" s="243" t="str">
        <f>IF(P2476&gt;0,"xy","")</f>
        <v/>
      </c>
      <c r="S2479" s="378" t="str">
        <f t="shared" si="724"/>
        <v/>
      </c>
    </row>
    <row r="2480" spans="2:19" hidden="1" x14ac:dyDescent="0.2">
      <c r="B2480" s="708" t="s">
        <v>168</v>
      </c>
      <c r="C2480" s="596"/>
      <c r="D2480" s="383" t="s">
        <v>402</v>
      </c>
      <c r="E2480" s="704"/>
      <c r="F2480" s="661">
        <v>30</v>
      </c>
      <c r="G2480" s="665">
        <f>VLOOKUP(D2476,'ENSAIOS DE ORÇAMENTO'!$C$3:$L$79,3,FALSE)</f>
        <v>0</v>
      </c>
      <c r="H2480" s="663">
        <f>IF(F2480&lt;=30,(1.05*F2480+2.18)*G2480,((1.05*30+2.18)+0.87*(F2480-30))*G2480)</f>
        <v>0</v>
      </c>
      <c r="I2480" s="380"/>
      <c r="J2480" s="631"/>
      <c r="K2480" s="593">
        <f t="shared" si="727"/>
        <v>0</v>
      </c>
      <c r="L2480" s="594"/>
      <c r="M2480" s="600"/>
      <c r="N2480" s="600">
        <v>0</v>
      </c>
      <c r="O2480" s="287">
        <f t="shared" si="740"/>
        <v>0</v>
      </c>
      <c r="P2480" s="287">
        <f t="shared" si="741"/>
        <v>0</v>
      </c>
      <c r="Q2480" s="288"/>
      <c r="R2480" s="311" t="str">
        <f>IF(P2476&gt;0,"xy","")</f>
        <v/>
      </c>
      <c r="S2480" s="378" t="str">
        <f t="shared" si="724"/>
        <v/>
      </c>
    </row>
    <row r="2481" spans="2:19" hidden="1" x14ac:dyDescent="0.2">
      <c r="B2481" s="708" t="s">
        <v>168</v>
      </c>
      <c r="C2481" s="596"/>
      <c r="D2481" s="383" t="s">
        <v>403</v>
      </c>
      <c r="E2481" s="704"/>
      <c r="F2481" s="661">
        <v>500</v>
      </c>
      <c r="G2481" s="665">
        <f>VLOOKUP(D2476,'ENSAIOS DE ORÇAMENTO'!$C$3:$L$79,10,FALSE)</f>
        <v>0</v>
      </c>
      <c r="H2481" s="663">
        <f>IF(F2481&lt;=30,(1.05*F2481+2.18)*G2481,((1.05*30+2.18)+0.87*(F2481-30))*G2481)</f>
        <v>0</v>
      </c>
      <c r="I2481" s="380"/>
      <c r="J2481" s="631"/>
      <c r="K2481" s="593">
        <f t="shared" si="727"/>
        <v>0</v>
      </c>
      <c r="L2481" s="594"/>
      <c r="M2481" s="600"/>
      <c r="N2481" s="600">
        <v>0</v>
      </c>
      <c r="O2481" s="287">
        <f t="shared" si="740"/>
        <v>0</v>
      </c>
      <c r="P2481" s="287">
        <f t="shared" si="741"/>
        <v>0</v>
      </c>
      <c r="Q2481" s="288"/>
      <c r="R2481" s="311" t="str">
        <f>IF(P2476&gt;0,"xy","")</f>
        <v/>
      </c>
      <c r="S2481" s="378" t="str">
        <f t="shared" si="724"/>
        <v/>
      </c>
    </row>
    <row r="2482" spans="2:19" hidden="1" x14ac:dyDescent="0.2">
      <c r="B2482" s="708" t="s">
        <v>53</v>
      </c>
      <c r="C2482" s="596" t="s">
        <v>207</v>
      </c>
      <c r="D2482" s="383" t="s">
        <v>427</v>
      </c>
      <c r="E2482" s="704"/>
      <c r="F2482" s="661"/>
      <c r="G2482" s="665"/>
      <c r="H2482" s="664">
        <f>SUM(H2483:H2487)</f>
        <v>445.60525289999998</v>
      </c>
      <c r="I2482" s="380">
        <f>VLOOKUP(D2482,'ENSAIOS DE ORÇAMENTO'!$C$3:$L$79,8,FALSE)</f>
        <v>1021.1634700000001</v>
      </c>
      <c r="J2482" s="631">
        <f t="shared" ref="J2482" si="745">IF(ISBLANK(I2482),"",SUM(H2482:I2482))</f>
        <v>1466.7687229000001</v>
      </c>
      <c r="K2482" s="593">
        <f t="shared" si="727"/>
        <v>1859.13</v>
      </c>
      <c r="L2482" s="594" t="s">
        <v>21</v>
      </c>
      <c r="M2482" s="30"/>
      <c r="N2482" s="30">
        <v>1859.13</v>
      </c>
      <c r="O2482" s="287">
        <f t="shared" si="740"/>
        <v>0</v>
      </c>
      <c r="P2482" s="287">
        <f t="shared" si="741"/>
        <v>0</v>
      </c>
      <c r="Q2482" s="288"/>
      <c r="S2482" s="378" t="str">
        <f t="shared" si="724"/>
        <v/>
      </c>
    </row>
    <row r="2483" spans="2:19" hidden="1" x14ac:dyDescent="0.2">
      <c r="B2483" s="708" t="s">
        <v>168</v>
      </c>
      <c r="C2483" s="596"/>
      <c r="D2483" s="383" t="s">
        <v>213</v>
      </c>
      <c r="E2483" s="704"/>
      <c r="F2483" s="661">
        <v>500</v>
      </c>
      <c r="G2483" s="665">
        <f>VLOOKUP(D2482,'ENSAIOS DE ORÇAMENTO'!$C$3:$L$79,4,FALSE)</f>
        <v>0.38417000000000001</v>
      </c>
      <c r="H2483" s="664">
        <f>IF(F2483&lt;=30,(0.75*F2483+6.29)*G2483,((0.75*30+6.29)+0.62*(F2483-30))*G2483)</f>
        <v>123.00739230000001</v>
      </c>
      <c r="I2483" s="380"/>
      <c r="J2483" s="631"/>
      <c r="K2483" s="593">
        <f t="shared" si="727"/>
        <v>0</v>
      </c>
      <c r="L2483" s="594"/>
      <c r="M2483" s="600"/>
      <c r="N2483" s="600">
        <v>0</v>
      </c>
      <c r="O2483" s="287">
        <f t="shared" si="740"/>
        <v>0</v>
      </c>
      <c r="P2483" s="287">
        <f t="shared" si="741"/>
        <v>0</v>
      </c>
      <c r="Q2483" s="288"/>
      <c r="R2483" s="311" t="str">
        <f>IF(P2482&gt;0,"xy","")</f>
        <v/>
      </c>
      <c r="S2483" s="378" t="str">
        <f t="shared" si="724"/>
        <v/>
      </c>
    </row>
    <row r="2484" spans="2:19" hidden="1" x14ac:dyDescent="0.2">
      <c r="B2484" s="708" t="s">
        <v>168</v>
      </c>
      <c r="C2484" s="596"/>
      <c r="D2484" s="383" t="s">
        <v>249</v>
      </c>
      <c r="E2484" s="704"/>
      <c r="F2484" s="661">
        <v>180</v>
      </c>
      <c r="G2484" s="665">
        <f>VLOOKUP(D2482,'ENSAIOS DE ORÇAMENTO'!$C$3:$L$79,5,FALSE)</f>
        <v>1.55436</v>
      </c>
      <c r="H2484" s="663">
        <f t="shared" ref="H2484" si="746">IF(F2484&lt;=30,(1.05*F2484+2.18)*G2484,((1.05*30+2.18)+0.87*(F2484-30))*G2484)</f>
        <v>255.19482479999999</v>
      </c>
      <c r="I2484" s="380"/>
      <c r="J2484" s="631"/>
      <c r="K2484" s="593">
        <f t="shared" si="727"/>
        <v>0</v>
      </c>
      <c r="L2484" s="594"/>
      <c r="M2484" s="600"/>
      <c r="N2484" s="600">
        <v>0</v>
      </c>
      <c r="O2484" s="287">
        <f t="shared" si="740"/>
        <v>0</v>
      </c>
      <c r="P2484" s="287">
        <f t="shared" si="741"/>
        <v>0</v>
      </c>
      <c r="Q2484" s="288"/>
      <c r="R2484" s="311" t="str">
        <f>IF(P2482&gt;0,"xy","")</f>
        <v/>
      </c>
      <c r="S2484" s="378" t="str">
        <f t="shared" si="724"/>
        <v/>
      </c>
    </row>
    <row r="2485" spans="2:19" hidden="1" x14ac:dyDescent="0.2">
      <c r="B2485" s="708" t="s">
        <v>168</v>
      </c>
      <c r="C2485" s="596"/>
      <c r="D2485" s="383" t="s">
        <v>253</v>
      </c>
      <c r="E2485" s="704"/>
      <c r="F2485" s="661">
        <v>20</v>
      </c>
      <c r="G2485" s="665">
        <f>VLOOKUP(D2482,'ENSAIOS DE ORÇAMENTO'!$C$3:$L$79,6,FALSE)</f>
        <v>2.9078100000000004</v>
      </c>
      <c r="H2485" s="663">
        <f>IF(F2485&lt;=30,(1.05*F2485+2.18)*G2485,((1.05*30+2.18)+0.87*(F2485-30))*G2485)</f>
        <v>67.403035800000012</v>
      </c>
      <c r="I2485" s="380"/>
      <c r="J2485" s="631"/>
      <c r="K2485" s="593">
        <f t="shared" si="727"/>
        <v>0</v>
      </c>
      <c r="L2485" s="594"/>
      <c r="M2485" s="600"/>
      <c r="N2485" s="600">
        <v>0</v>
      </c>
      <c r="O2485" s="287">
        <f t="shared" si="740"/>
        <v>0</v>
      </c>
      <c r="P2485" s="287">
        <f t="shared" si="741"/>
        <v>0</v>
      </c>
      <c r="Q2485" s="288"/>
      <c r="R2485" s="243" t="str">
        <f>IF(P2482&gt;0,"xy","")</f>
        <v/>
      </c>
      <c r="S2485" s="378" t="str">
        <f t="shared" si="724"/>
        <v/>
      </c>
    </row>
    <row r="2486" spans="2:19" hidden="1" x14ac:dyDescent="0.2">
      <c r="B2486" s="708" t="s">
        <v>168</v>
      </c>
      <c r="C2486" s="596"/>
      <c r="D2486" s="383" t="s">
        <v>402</v>
      </c>
      <c r="E2486" s="704"/>
      <c r="F2486" s="661">
        <v>30</v>
      </c>
      <c r="G2486" s="665">
        <f>VLOOKUP(D2482,'ENSAIOS DE ORÇAMENTO'!$C$3:$L$79,3,FALSE)</f>
        <v>0</v>
      </c>
      <c r="H2486" s="663">
        <f>IF(F2486&lt;=30,(1.05*F2486+2.18)*G2486,((1.05*30+2.18)+0.87*(F2486-30))*G2486)</f>
        <v>0</v>
      </c>
      <c r="I2486" s="380"/>
      <c r="J2486" s="631"/>
      <c r="K2486" s="593">
        <f t="shared" si="727"/>
        <v>0</v>
      </c>
      <c r="L2486" s="594"/>
      <c r="M2486" s="600"/>
      <c r="N2486" s="600">
        <v>0</v>
      </c>
      <c r="O2486" s="287">
        <f t="shared" si="740"/>
        <v>0</v>
      </c>
      <c r="P2486" s="287">
        <f t="shared" si="741"/>
        <v>0</v>
      </c>
      <c r="Q2486" s="288"/>
      <c r="R2486" s="311" t="str">
        <f>IF(P2482&gt;0,"xy","")</f>
        <v/>
      </c>
      <c r="S2486" s="378" t="str">
        <f t="shared" si="724"/>
        <v/>
      </c>
    </row>
    <row r="2487" spans="2:19" hidden="1" x14ac:dyDescent="0.2">
      <c r="B2487" s="708" t="s">
        <v>168</v>
      </c>
      <c r="C2487" s="596"/>
      <c r="D2487" s="383" t="s">
        <v>403</v>
      </c>
      <c r="E2487" s="704"/>
      <c r="F2487" s="661">
        <v>500</v>
      </c>
      <c r="G2487" s="665">
        <f>VLOOKUP(D2482,'ENSAIOS DE ORÇAMENTO'!$C$3:$L$79,10,FALSE)</f>
        <v>0</v>
      </c>
      <c r="H2487" s="663">
        <f>IF(F2487&lt;=30,(1.05*F2487+2.18)*G2487,((1.05*30+2.18)+0.87*(F2487-30))*G2487)</f>
        <v>0</v>
      </c>
      <c r="I2487" s="380"/>
      <c r="J2487" s="631"/>
      <c r="K2487" s="593">
        <f t="shared" si="727"/>
        <v>0</v>
      </c>
      <c r="L2487" s="594"/>
      <c r="M2487" s="600"/>
      <c r="N2487" s="600">
        <v>0</v>
      </c>
      <c r="O2487" s="287">
        <f t="shared" si="740"/>
        <v>0</v>
      </c>
      <c r="P2487" s="287">
        <f t="shared" si="741"/>
        <v>0</v>
      </c>
      <c r="Q2487" s="288"/>
      <c r="R2487" s="311" t="str">
        <f>IF(P2482&gt;0,"xy","")</f>
        <v/>
      </c>
      <c r="S2487" s="378" t="str">
        <f t="shared" si="724"/>
        <v/>
      </c>
    </row>
    <row r="2488" spans="2:19" hidden="1" x14ac:dyDescent="0.2">
      <c r="B2488" s="708" t="s">
        <v>53</v>
      </c>
      <c r="C2488" s="596" t="s">
        <v>207</v>
      </c>
      <c r="D2488" s="383" t="s">
        <v>428</v>
      </c>
      <c r="E2488" s="704"/>
      <c r="F2488" s="661"/>
      <c r="G2488" s="665"/>
      <c r="H2488" s="664">
        <f>SUM(H2489:H2493)</f>
        <v>550.00259549999998</v>
      </c>
      <c r="I2488" s="380">
        <f>VLOOKUP(D2488,'ENSAIOS DE ORÇAMENTO'!$C$3:$L$79,8,FALSE)</f>
        <v>1223.2039333333335</v>
      </c>
      <c r="J2488" s="631">
        <f t="shared" ref="J2488" si="747">IF(ISBLANK(I2488),"",SUM(H2488:I2488))</f>
        <v>1773.2065288333333</v>
      </c>
      <c r="K2488" s="593">
        <f t="shared" si="727"/>
        <v>2247.54</v>
      </c>
      <c r="L2488" s="594" t="s">
        <v>21</v>
      </c>
      <c r="M2488" s="30"/>
      <c r="N2488" s="30">
        <v>2247.54</v>
      </c>
      <c r="O2488" s="287">
        <f t="shared" si="740"/>
        <v>0</v>
      </c>
      <c r="P2488" s="287">
        <f t="shared" si="741"/>
        <v>0</v>
      </c>
      <c r="Q2488" s="288"/>
      <c r="S2488" s="378" t="str">
        <f t="shared" si="724"/>
        <v/>
      </c>
    </row>
    <row r="2489" spans="2:19" hidden="1" x14ac:dyDescent="0.2">
      <c r="B2489" s="708" t="s">
        <v>168</v>
      </c>
      <c r="C2489" s="596"/>
      <c r="D2489" s="383" t="s">
        <v>213</v>
      </c>
      <c r="E2489" s="704"/>
      <c r="F2489" s="661">
        <v>500</v>
      </c>
      <c r="G2489" s="665">
        <f>VLOOKUP(D2488,'ENSAIOS DE ORÇAMENTO'!$C$3:$L$79,4,FALSE)</f>
        <v>0.47295000000000004</v>
      </c>
      <c r="H2489" s="664">
        <f>IF(F2489&lt;=30,(0.75*F2489+6.29)*G2489,((0.75*30+6.29)+0.62*(F2489-30))*G2489)</f>
        <v>151.43386050000001</v>
      </c>
      <c r="I2489" s="380"/>
      <c r="J2489" s="631"/>
      <c r="K2489" s="593">
        <f t="shared" si="727"/>
        <v>0</v>
      </c>
      <c r="L2489" s="594"/>
      <c r="M2489" s="600"/>
      <c r="N2489" s="600">
        <v>0</v>
      </c>
      <c r="O2489" s="287">
        <f t="shared" si="740"/>
        <v>0</v>
      </c>
      <c r="P2489" s="287">
        <f t="shared" si="741"/>
        <v>0</v>
      </c>
      <c r="Q2489" s="288"/>
      <c r="R2489" s="311" t="str">
        <f>IF(P2488&gt;0,"xy","")</f>
        <v/>
      </c>
      <c r="S2489" s="378" t="str">
        <f t="shared" si="724"/>
        <v/>
      </c>
    </row>
    <row r="2490" spans="2:19" hidden="1" x14ac:dyDescent="0.2">
      <c r="B2490" s="708" t="s">
        <v>168</v>
      </c>
      <c r="C2490" s="596"/>
      <c r="D2490" s="383" t="s">
        <v>249</v>
      </c>
      <c r="E2490" s="704"/>
      <c r="F2490" s="661">
        <v>180</v>
      </c>
      <c r="G2490" s="665">
        <f>VLOOKUP(D2488,'ENSAIOS DE ORÇAMENTO'!$C$3:$L$79,5,FALSE)</f>
        <v>1.9178999999999999</v>
      </c>
      <c r="H2490" s="663">
        <f t="shared" ref="H2490" si="748">IF(F2490&lt;=30,(1.05*F2490+2.18)*G2490,((1.05*30+2.18)+0.87*(F2490-30))*G2490)</f>
        <v>314.88082200000002</v>
      </c>
      <c r="I2490" s="380"/>
      <c r="J2490" s="631"/>
      <c r="K2490" s="593">
        <f t="shared" si="727"/>
        <v>0</v>
      </c>
      <c r="L2490" s="594"/>
      <c r="M2490" s="600"/>
      <c r="N2490" s="600">
        <v>0</v>
      </c>
      <c r="O2490" s="287">
        <f t="shared" si="740"/>
        <v>0</v>
      </c>
      <c r="P2490" s="287">
        <f t="shared" si="741"/>
        <v>0</v>
      </c>
      <c r="Q2490" s="288"/>
      <c r="R2490" s="311" t="str">
        <f>IF(P2488&gt;0,"xy","")</f>
        <v/>
      </c>
      <c r="S2490" s="378" t="str">
        <f t="shared" si="724"/>
        <v/>
      </c>
    </row>
    <row r="2491" spans="2:19" hidden="1" x14ac:dyDescent="0.2">
      <c r="B2491" s="708" t="s">
        <v>168</v>
      </c>
      <c r="C2491" s="596"/>
      <c r="D2491" s="383" t="s">
        <v>253</v>
      </c>
      <c r="E2491" s="704"/>
      <c r="F2491" s="661">
        <v>20</v>
      </c>
      <c r="G2491" s="665">
        <f>VLOOKUP(D2488,'ENSAIOS DE ORÇAMENTO'!$C$3:$L$79,6,FALSE)</f>
        <v>3.6103500000000004</v>
      </c>
      <c r="H2491" s="663">
        <f>IF(F2491&lt;=30,(1.05*F2491+2.18)*G2491,((1.05*30+2.18)+0.87*(F2491-30))*G2491)</f>
        <v>83.687913000000009</v>
      </c>
      <c r="I2491" s="380"/>
      <c r="J2491" s="631"/>
      <c r="K2491" s="593">
        <f t="shared" si="727"/>
        <v>0</v>
      </c>
      <c r="L2491" s="594"/>
      <c r="M2491" s="600"/>
      <c r="N2491" s="600">
        <v>0</v>
      </c>
      <c r="O2491" s="287">
        <f t="shared" si="740"/>
        <v>0</v>
      </c>
      <c r="P2491" s="287">
        <f t="shared" si="741"/>
        <v>0</v>
      </c>
      <c r="Q2491" s="288"/>
      <c r="R2491" s="243" t="str">
        <f>IF(P2488&gt;0,"xy","")</f>
        <v/>
      </c>
      <c r="S2491" s="378" t="str">
        <f t="shared" si="724"/>
        <v/>
      </c>
    </row>
    <row r="2492" spans="2:19" hidden="1" x14ac:dyDescent="0.2">
      <c r="B2492" s="708" t="s">
        <v>168</v>
      </c>
      <c r="C2492" s="596"/>
      <c r="D2492" s="383" t="s">
        <v>402</v>
      </c>
      <c r="E2492" s="704"/>
      <c r="F2492" s="661">
        <v>30</v>
      </c>
      <c r="G2492" s="665">
        <f>VLOOKUP(D2488,'ENSAIOS DE ORÇAMENTO'!$C$3:$L$79,3,FALSE)</f>
        <v>0</v>
      </c>
      <c r="H2492" s="663">
        <f>IF(F2492&lt;=30,(1.05*F2492+2.18)*G2492,((1.05*30+2.18)+0.87*(F2492-30))*G2492)</f>
        <v>0</v>
      </c>
      <c r="I2492" s="380"/>
      <c r="J2492" s="631"/>
      <c r="K2492" s="593">
        <f t="shared" si="727"/>
        <v>0</v>
      </c>
      <c r="L2492" s="594"/>
      <c r="M2492" s="600"/>
      <c r="N2492" s="600">
        <v>0</v>
      </c>
      <c r="O2492" s="287">
        <f t="shared" si="740"/>
        <v>0</v>
      </c>
      <c r="P2492" s="287">
        <f t="shared" si="741"/>
        <v>0</v>
      </c>
      <c r="Q2492" s="288"/>
      <c r="R2492" s="311" t="str">
        <f>IF(P2488&gt;0,"xy","")</f>
        <v/>
      </c>
      <c r="S2492" s="378" t="str">
        <f t="shared" si="724"/>
        <v/>
      </c>
    </row>
    <row r="2493" spans="2:19" hidden="1" x14ac:dyDescent="0.2">
      <c r="B2493" s="708" t="s">
        <v>168</v>
      </c>
      <c r="C2493" s="596"/>
      <c r="D2493" s="383" t="s">
        <v>403</v>
      </c>
      <c r="E2493" s="704"/>
      <c r="F2493" s="661">
        <v>500</v>
      </c>
      <c r="G2493" s="665">
        <f>VLOOKUP(D2488,'ENSAIOS DE ORÇAMENTO'!$C$3:$L$79,10,FALSE)</f>
        <v>0</v>
      </c>
      <c r="H2493" s="663">
        <f>IF(F2493&lt;=30,(1.05*F2493+2.18)*G2493,((1.05*30+2.18)+0.87*(F2493-30))*G2493)</f>
        <v>0</v>
      </c>
      <c r="I2493" s="380"/>
      <c r="J2493" s="631"/>
      <c r="K2493" s="593">
        <f t="shared" si="727"/>
        <v>0</v>
      </c>
      <c r="L2493" s="594"/>
      <c r="M2493" s="600"/>
      <c r="N2493" s="600">
        <v>0</v>
      </c>
      <c r="O2493" s="287">
        <f t="shared" si="740"/>
        <v>0</v>
      </c>
      <c r="P2493" s="287">
        <f t="shared" si="741"/>
        <v>0</v>
      </c>
      <c r="Q2493" s="288"/>
      <c r="R2493" s="311" t="str">
        <f>IF(P2488&gt;0,"xy","")</f>
        <v/>
      </c>
      <c r="S2493" s="378" t="str">
        <f t="shared" ref="S2493:S2556" si="749">IF(R2493="x","x",IF(R2493="y","x",IF(R2493="xy","x",IF(P2493&gt;0,"x",""))))</f>
        <v/>
      </c>
    </row>
    <row r="2494" spans="2:19" hidden="1" x14ac:dyDescent="0.2">
      <c r="B2494" s="708" t="s">
        <v>53</v>
      </c>
      <c r="C2494" s="596" t="s">
        <v>207</v>
      </c>
      <c r="D2494" s="383" t="s">
        <v>429</v>
      </c>
      <c r="E2494" s="704"/>
      <c r="F2494" s="661"/>
      <c r="G2494" s="665"/>
      <c r="H2494" s="664">
        <f>SUM(H2495:H2499)</f>
        <v>879.39675120000004</v>
      </c>
      <c r="I2494" s="380">
        <f>VLOOKUP(D2494,'ENSAIOS DE ORÇAMENTO'!$C$3:$L$79,8,FALSE)</f>
        <v>1882.6414999999997</v>
      </c>
      <c r="J2494" s="631">
        <f t="shared" ref="J2494" si="750">IF(ISBLANK(I2494),"",SUM(H2494:I2494))</f>
        <v>2762.0382511999996</v>
      </c>
      <c r="K2494" s="593">
        <f t="shared" si="727"/>
        <v>3500.88</v>
      </c>
      <c r="L2494" s="594" t="s">
        <v>21</v>
      </c>
      <c r="M2494" s="30"/>
      <c r="N2494" s="30">
        <v>3500.88</v>
      </c>
      <c r="O2494" s="287">
        <f t="shared" si="740"/>
        <v>0</v>
      </c>
      <c r="P2494" s="287">
        <f t="shared" si="741"/>
        <v>0</v>
      </c>
      <c r="Q2494" s="288"/>
      <c r="S2494" s="378" t="str">
        <f t="shared" si="749"/>
        <v/>
      </c>
    </row>
    <row r="2495" spans="2:19" hidden="1" x14ac:dyDescent="0.2">
      <c r="B2495" s="708" t="s">
        <v>168</v>
      </c>
      <c r="C2495" s="596"/>
      <c r="D2495" s="383" t="s">
        <v>213</v>
      </c>
      <c r="E2495" s="704"/>
      <c r="F2495" s="661">
        <v>500</v>
      </c>
      <c r="G2495" s="665">
        <f>VLOOKUP(D2494,'ENSAIOS DE ORÇAMENTO'!$C$3:$L$79,4,FALSE)</f>
        <v>0.75196000000000007</v>
      </c>
      <c r="H2495" s="664">
        <f>IF(F2495&lt;=30,(0.75*F2495+6.29)*G2495,((0.75*30+6.29)+0.62*(F2495-30))*G2495)</f>
        <v>240.77007240000003</v>
      </c>
      <c r="I2495" s="380"/>
      <c r="J2495" s="631"/>
      <c r="K2495" s="593">
        <f t="shared" si="727"/>
        <v>0</v>
      </c>
      <c r="L2495" s="594"/>
      <c r="M2495" s="600"/>
      <c r="N2495" s="600">
        <v>0</v>
      </c>
      <c r="O2495" s="287">
        <f t="shared" si="740"/>
        <v>0</v>
      </c>
      <c r="P2495" s="287">
        <f t="shared" si="741"/>
        <v>0</v>
      </c>
      <c r="Q2495" s="288"/>
      <c r="R2495" s="311" t="str">
        <f>IF(P2494&gt;0,"xy","")</f>
        <v/>
      </c>
      <c r="S2495" s="378" t="str">
        <f t="shared" si="749"/>
        <v/>
      </c>
    </row>
    <row r="2496" spans="2:19" hidden="1" x14ac:dyDescent="0.2">
      <c r="B2496" s="708" t="s">
        <v>168</v>
      </c>
      <c r="C2496" s="596"/>
      <c r="D2496" s="383" t="s">
        <v>249</v>
      </c>
      <c r="E2496" s="704"/>
      <c r="F2496" s="661">
        <v>180</v>
      </c>
      <c r="G2496" s="665">
        <f>VLOOKUP(D2494,'ENSAIOS DE ORÇAMENTO'!$C$3:$L$79,5,FALSE)</f>
        <v>3.0643799999999999</v>
      </c>
      <c r="H2496" s="663">
        <f t="shared" ref="H2496" si="751">IF(F2496&lt;=30,(1.05*F2496+2.18)*G2496,((1.05*30+2.18)+0.87*(F2496-30))*G2496)</f>
        <v>503.10990839999999</v>
      </c>
      <c r="I2496" s="380"/>
      <c r="J2496" s="631"/>
      <c r="K2496" s="593">
        <f t="shared" si="727"/>
        <v>0</v>
      </c>
      <c r="L2496" s="594"/>
      <c r="M2496" s="600"/>
      <c r="N2496" s="600">
        <v>0</v>
      </c>
      <c r="O2496" s="287">
        <f t="shared" si="740"/>
        <v>0</v>
      </c>
      <c r="P2496" s="287">
        <f t="shared" si="741"/>
        <v>0</v>
      </c>
      <c r="Q2496" s="288"/>
      <c r="R2496" s="311" t="str">
        <f>IF(P2494&gt;0,"xy","")</f>
        <v/>
      </c>
      <c r="S2496" s="378" t="str">
        <f t="shared" si="749"/>
        <v/>
      </c>
    </row>
    <row r="2497" spans="2:19" hidden="1" x14ac:dyDescent="0.2">
      <c r="B2497" s="708" t="s">
        <v>168</v>
      </c>
      <c r="C2497" s="596"/>
      <c r="D2497" s="383" t="s">
        <v>253</v>
      </c>
      <c r="E2497" s="704"/>
      <c r="F2497" s="661">
        <v>20</v>
      </c>
      <c r="G2497" s="665">
        <f>VLOOKUP(D2494,'ENSAIOS DE ORÇAMENTO'!$C$3:$L$79,6,FALSE)</f>
        <v>5.8462800000000001</v>
      </c>
      <c r="H2497" s="663">
        <f>IF(F2497&lt;=30,(1.05*F2497+2.18)*G2497,((1.05*30+2.18)+0.87*(F2497-30))*G2497)</f>
        <v>135.51677040000001</v>
      </c>
      <c r="I2497" s="380"/>
      <c r="J2497" s="631"/>
      <c r="K2497" s="593">
        <f t="shared" si="727"/>
        <v>0</v>
      </c>
      <c r="L2497" s="594"/>
      <c r="M2497" s="600"/>
      <c r="N2497" s="600">
        <v>0</v>
      </c>
      <c r="O2497" s="287">
        <f t="shared" si="740"/>
        <v>0</v>
      </c>
      <c r="P2497" s="287">
        <f t="shared" si="741"/>
        <v>0</v>
      </c>
      <c r="Q2497" s="288"/>
      <c r="R2497" s="243" t="str">
        <f>IF(P2494&gt;0,"xy","")</f>
        <v/>
      </c>
      <c r="S2497" s="378" t="str">
        <f t="shared" si="749"/>
        <v/>
      </c>
    </row>
    <row r="2498" spans="2:19" hidden="1" x14ac:dyDescent="0.2">
      <c r="B2498" s="708" t="s">
        <v>168</v>
      </c>
      <c r="C2498" s="596"/>
      <c r="D2498" s="383" t="s">
        <v>402</v>
      </c>
      <c r="E2498" s="704"/>
      <c r="F2498" s="661">
        <v>30</v>
      </c>
      <c r="G2498" s="665">
        <f>VLOOKUP(D2494,'ENSAIOS DE ORÇAMENTO'!$C$3:$L$79,3,FALSE)</f>
        <v>0</v>
      </c>
      <c r="H2498" s="663">
        <f>IF(F2498&lt;=30,(1.05*F2498+2.18)*G2498,((1.05*30+2.18)+0.87*(F2498-30))*G2498)</f>
        <v>0</v>
      </c>
      <c r="I2498" s="380"/>
      <c r="J2498" s="631"/>
      <c r="K2498" s="593">
        <f t="shared" ref="K2498:K2561" si="752">IF(ISBLANK(I2498),0,ROUND(J2498*(1+$F$10)*(1+$F$11*E2498),2))</f>
        <v>0</v>
      </c>
      <c r="L2498" s="594"/>
      <c r="M2498" s="600"/>
      <c r="N2498" s="600">
        <v>0</v>
      </c>
      <c r="O2498" s="287">
        <f t="shared" si="740"/>
        <v>0</v>
      </c>
      <c r="P2498" s="287">
        <f t="shared" si="741"/>
        <v>0</v>
      </c>
      <c r="Q2498" s="288"/>
      <c r="R2498" s="311" t="str">
        <f>IF(P2494&gt;0,"xy","")</f>
        <v/>
      </c>
      <c r="S2498" s="378" t="str">
        <f t="shared" si="749"/>
        <v/>
      </c>
    </row>
    <row r="2499" spans="2:19" hidden="1" x14ac:dyDescent="0.2">
      <c r="B2499" s="708" t="s">
        <v>168</v>
      </c>
      <c r="C2499" s="596"/>
      <c r="D2499" s="383" t="s">
        <v>403</v>
      </c>
      <c r="E2499" s="704"/>
      <c r="F2499" s="661">
        <v>500</v>
      </c>
      <c r="G2499" s="665">
        <f>VLOOKUP(D2494,'ENSAIOS DE ORÇAMENTO'!$C$3:$L$79,10,FALSE)</f>
        <v>0</v>
      </c>
      <c r="H2499" s="663">
        <f>IF(F2499&lt;=30,(1.05*F2499+2.18)*G2499,((1.05*30+2.18)+0.87*(F2499-30))*G2499)</f>
        <v>0</v>
      </c>
      <c r="I2499" s="380"/>
      <c r="J2499" s="631"/>
      <c r="K2499" s="593">
        <f t="shared" si="752"/>
        <v>0</v>
      </c>
      <c r="L2499" s="594"/>
      <c r="M2499" s="600"/>
      <c r="N2499" s="600">
        <v>0</v>
      </c>
      <c r="O2499" s="287">
        <f t="shared" si="740"/>
        <v>0</v>
      </c>
      <c r="P2499" s="287">
        <f t="shared" si="741"/>
        <v>0</v>
      </c>
      <c r="Q2499" s="288"/>
      <c r="R2499" s="311" t="str">
        <f>IF(P2494&gt;0,"xy","")</f>
        <v/>
      </c>
      <c r="S2499" s="378" t="str">
        <f t="shared" si="749"/>
        <v/>
      </c>
    </row>
    <row r="2500" spans="2:19" hidden="1" x14ac:dyDescent="0.2">
      <c r="B2500" s="708" t="s">
        <v>53</v>
      </c>
      <c r="C2500" s="596" t="s">
        <v>207</v>
      </c>
      <c r="D2500" s="383" t="s">
        <v>163</v>
      </c>
      <c r="E2500" s="704"/>
      <c r="F2500" s="661"/>
      <c r="G2500" s="665"/>
      <c r="H2500" s="664">
        <f>SUM(H2501:H2505)</f>
        <v>1275.3881157000003</v>
      </c>
      <c r="I2500" s="380">
        <f>VLOOKUP(D2500,'ENSAIOS DE ORÇAMENTO'!$C$3:$L$79,8,FALSE)</f>
        <v>2656.9669666666668</v>
      </c>
      <c r="J2500" s="631">
        <f t="shared" ref="J2500" si="753">IF(ISBLANK(I2500),"",SUM(H2500:I2500))</f>
        <v>3932.3550823666674</v>
      </c>
      <c r="K2500" s="593">
        <f t="shared" si="752"/>
        <v>4984.26</v>
      </c>
      <c r="L2500" s="594" t="s">
        <v>21</v>
      </c>
      <c r="M2500" s="30"/>
      <c r="N2500" s="30">
        <v>4984.26</v>
      </c>
      <c r="O2500" s="287">
        <f t="shared" si="740"/>
        <v>0</v>
      </c>
      <c r="P2500" s="287">
        <f t="shared" si="741"/>
        <v>0</v>
      </c>
      <c r="Q2500" s="288"/>
      <c r="S2500" s="378" t="str">
        <f t="shared" si="749"/>
        <v/>
      </c>
    </row>
    <row r="2501" spans="2:19" hidden="1" x14ac:dyDescent="0.2">
      <c r="B2501" s="708" t="s">
        <v>168</v>
      </c>
      <c r="C2501" s="596"/>
      <c r="D2501" s="383" t="s">
        <v>213</v>
      </c>
      <c r="E2501" s="704"/>
      <c r="F2501" s="661">
        <v>500</v>
      </c>
      <c r="G2501" s="665">
        <f>VLOOKUP(D2500,'ENSAIOS DE ORÇAMENTO'!$C$3:$L$79,4,FALSE)</f>
        <v>1.08901</v>
      </c>
      <c r="H2501" s="664">
        <f>IF(F2501&lt;=30,(0.75*F2501+6.29)*G2501,((0.75*30+6.29)+0.62*(F2501-30))*G2501)</f>
        <v>348.69011190000003</v>
      </c>
      <c r="I2501" s="380"/>
      <c r="J2501" s="631"/>
      <c r="K2501" s="593">
        <f t="shared" si="752"/>
        <v>0</v>
      </c>
      <c r="L2501" s="594"/>
      <c r="M2501" s="600"/>
      <c r="N2501" s="600">
        <v>0</v>
      </c>
      <c r="O2501" s="287">
        <f t="shared" si="740"/>
        <v>0</v>
      </c>
      <c r="P2501" s="287">
        <f t="shared" si="741"/>
        <v>0</v>
      </c>
      <c r="Q2501" s="288"/>
      <c r="R2501" s="311" t="str">
        <f>IF(P2500&gt;0,"xy","")</f>
        <v/>
      </c>
      <c r="S2501" s="378" t="str">
        <f t="shared" si="749"/>
        <v/>
      </c>
    </row>
    <row r="2502" spans="2:19" hidden="1" x14ac:dyDescent="0.2">
      <c r="B2502" s="708" t="s">
        <v>168</v>
      </c>
      <c r="C2502" s="596"/>
      <c r="D2502" s="383" t="s">
        <v>249</v>
      </c>
      <c r="E2502" s="704"/>
      <c r="F2502" s="661">
        <v>180</v>
      </c>
      <c r="G2502" s="665">
        <f>VLOOKUP(D2500,'ENSAIOS DE ORÇAMENTO'!$C$3:$L$79,5,FALSE)</f>
        <v>4.4434800000000001</v>
      </c>
      <c r="H2502" s="663">
        <f t="shared" ref="H2502" si="754">IF(F2502&lt;=30,(1.05*F2502+2.18)*G2502,((1.05*30+2.18)+0.87*(F2502-30))*G2502)</f>
        <v>729.53054640000005</v>
      </c>
      <c r="I2502" s="380"/>
      <c r="J2502" s="631"/>
      <c r="K2502" s="593">
        <f t="shared" si="752"/>
        <v>0</v>
      </c>
      <c r="L2502" s="594"/>
      <c r="M2502" s="600"/>
      <c r="N2502" s="600">
        <v>0</v>
      </c>
      <c r="O2502" s="287">
        <f t="shared" si="740"/>
        <v>0</v>
      </c>
      <c r="P2502" s="287">
        <f t="shared" si="741"/>
        <v>0</v>
      </c>
      <c r="Q2502" s="288"/>
      <c r="R2502" s="311" t="str">
        <f>IF(P2500&gt;0,"xy","")</f>
        <v/>
      </c>
      <c r="S2502" s="378" t="str">
        <f t="shared" si="749"/>
        <v/>
      </c>
    </row>
    <row r="2503" spans="2:19" hidden="1" x14ac:dyDescent="0.2">
      <c r="B2503" s="708" t="s">
        <v>168</v>
      </c>
      <c r="C2503" s="596"/>
      <c r="D2503" s="383" t="s">
        <v>253</v>
      </c>
      <c r="E2503" s="704"/>
      <c r="F2503" s="661">
        <v>20</v>
      </c>
      <c r="G2503" s="665">
        <f>VLOOKUP(D2500,'ENSAIOS DE ORÇAMENTO'!$C$3:$L$79,6,FALSE)</f>
        <v>8.5059300000000011</v>
      </c>
      <c r="H2503" s="663">
        <f>IF(F2503&lt;=30,(1.05*F2503+2.18)*G2503,((1.05*30+2.18)+0.87*(F2503-30))*G2503)</f>
        <v>197.16745740000002</v>
      </c>
      <c r="I2503" s="380"/>
      <c r="J2503" s="631"/>
      <c r="K2503" s="593">
        <f t="shared" si="752"/>
        <v>0</v>
      </c>
      <c r="L2503" s="594"/>
      <c r="M2503" s="600"/>
      <c r="N2503" s="600">
        <v>0</v>
      </c>
      <c r="O2503" s="287">
        <f t="shared" si="740"/>
        <v>0</v>
      </c>
      <c r="P2503" s="287">
        <f t="shared" si="741"/>
        <v>0</v>
      </c>
      <c r="Q2503" s="288"/>
      <c r="R2503" s="243" t="str">
        <f>IF(P2500&gt;0,"xy","")</f>
        <v/>
      </c>
      <c r="S2503" s="378" t="str">
        <f t="shared" si="749"/>
        <v/>
      </c>
    </row>
    <row r="2504" spans="2:19" hidden="1" x14ac:dyDescent="0.2">
      <c r="B2504" s="708" t="s">
        <v>168</v>
      </c>
      <c r="C2504" s="596"/>
      <c r="D2504" s="383" t="s">
        <v>402</v>
      </c>
      <c r="E2504" s="704"/>
      <c r="F2504" s="661">
        <v>30</v>
      </c>
      <c r="G2504" s="665">
        <f>VLOOKUP(D2500,'ENSAIOS DE ORÇAMENTO'!$C$3:$L$79,3,FALSE)</f>
        <v>0</v>
      </c>
      <c r="H2504" s="663">
        <f>IF(F2504&lt;=30,(1.05*F2504+2.18)*G2504,((1.05*30+2.18)+0.87*(F2504-30))*G2504)</f>
        <v>0</v>
      </c>
      <c r="I2504" s="380"/>
      <c r="J2504" s="631"/>
      <c r="K2504" s="593">
        <f t="shared" si="752"/>
        <v>0</v>
      </c>
      <c r="L2504" s="594"/>
      <c r="M2504" s="600"/>
      <c r="N2504" s="600">
        <v>0</v>
      </c>
      <c r="O2504" s="287">
        <f t="shared" si="740"/>
        <v>0</v>
      </c>
      <c r="P2504" s="287">
        <f t="shared" si="741"/>
        <v>0</v>
      </c>
      <c r="Q2504" s="288"/>
      <c r="R2504" s="311" t="str">
        <f>IF(P2500&gt;0,"xy","")</f>
        <v/>
      </c>
      <c r="S2504" s="378" t="str">
        <f t="shared" si="749"/>
        <v/>
      </c>
    </row>
    <row r="2505" spans="2:19" hidden="1" x14ac:dyDescent="0.2">
      <c r="B2505" s="708" t="s">
        <v>168</v>
      </c>
      <c r="C2505" s="596"/>
      <c r="D2505" s="383" t="s">
        <v>403</v>
      </c>
      <c r="E2505" s="704"/>
      <c r="F2505" s="661">
        <v>500</v>
      </c>
      <c r="G2505" s="665">
        <f>VLOOKUP(D2500,'ENSAIOS DE ORÇAMENTO'!$C$3:$L$79,10,FALSE)</f>
        <v>0</v>
      </c>
      <c r="H2505" s="663">
        <f>IF(F2505&lt;=30,(1.05*F2505+2.18)*G2505,((1.05*30+2.18)+0.87*(F2505-30))*G2505)</f>
        <v>0</v>
      </c>
      <c r="I2505" s="380"/>
      <c r="J2505" s="631"/>
      <c r="K2505" s="593">
        <f t="shared" si="752"/>
        <v>0</v>
      </c>
      <c r="L2505" s="594"/>
      <c r="M2505" s="600"/>
      <c r="N2505" s="600">
        <v>0</v>
      </c>
      <c r="O2505" s="287">
        <f t="shared" si="740"/>
        <v>0</v>
      </c>
      <c r="P2505" s="287">
        <f t="shared" si="741"/>
        <v>0</v>
      </c>
      <c r="Q2505" s="288"/>
      <c r="R2505" s="311" t="str">
        <f>IF(P2500&gt;0,"xy","")</f>
        <v/>
      </c>
      <c r="S2505" s="378" t="str">
        <f t="shared" si="749"/>
        <v/>
      </c>
    </row>
    <row r="2506" spans="2:19" hidden="1" x14ac:dyDescent="0.2">
      <c r="B2506" s="708" t="s">
        <v>53</v>
      </c>
      <c r="C2506" s="596" t="s">
        <v>207</v>
      </c>
      <c r="D2506" s="383" t="s">
        <v>164</v>
      </c>
      <c r="E2506" s="704"/>
      <c r="F2506" s="661"/>
      <c r="G2506" s="665"/>
      <c r="H2506" s="664">
        <f>SUM(H2507:H2511)</f>
        <v>1731.9421617</v>
      </c>
      <c r="I2506" s="380">
        <f>VLOOKUP(D2506,'ENSAIOS DE ORÇAMENTO'!$C$3:$L$79,8,FALSE)</f>
        <v>3551.6050000000005</v>
      </c>
      <c r="J2506" s="631">
        <f t="shared" ref="J2506" si="755">IF(ISBLANK(I2506),"",SUM(H2506:I2506))</f>
        <v>5283.5471617000003</v>
      </c>
      <c r="K2506" s="593">
        <f t="shared" si="752"/>
        <v>6696.9</v>
      </c>
      <c r="L2506" s="594" t="s">
        <v>21</v>
      </c>
      <c r="M2506" s="30"/>
      <c r="N2506" s="30">
        <v>6696.9</v>
      </c>
      <c r="O2506" s="287">
        <f t="shared" si="740"/>
        <v>0</v>
      </c>
      <c r="P2506" s="287">
        <f t="shared" si="741"/>
        <v>0</v>
      </c>
      <c r="Q2506" s="288"/>
      <c r="S2506" s="378" t="str">
        <f t="shared" si="749"/>
        <v/>
      </c>
    </row>
    <row r="2507" spans="2:19" hidden="1" x14ac:dyDescent="0.2">
      <c r="B2507" s="708" t="s">
        <v>168</v>
      </c>
      <c r="C2507" s="596"/>
      <c r="D2507" s="383" t="s">
        <v>213</v>
      </c>
      <c r="E2507" s="704"/>
      <c r="F2507" s="661">
        <v>500</v>
      </c>
      <c r="G2507" s="665">
        <f>VLOOKUP(D2506,'ENSAIOS DE ORÇAMENTO'!$C$3:$L$79,4,FALSE)</f>
        <v>1.4740100000000003</v>
      </c>
      <c r="H2507" s="664">
        <f>IF(F2507&lt;=30,(0.75*F2507+6.29)*G2507,((0.75*30+6.29)+0.62*(F2507-30))*G2507)</f>
        <v>471.96326190000008</v>
      </c>
      <c r="I2507" s="380"/>
      <c r="J2507" s="631"/>
      <c r="K2507" s="593">
        <f t="shared" si="752"/>
        <v>0</v>
      </c>
      <c r="L2507" s="594"/>
      <c r="M2507" s="600"/>
      <c r="N2507" s="600">
        <v>0</v>
      </c>
      <c r="O2507" s="287">
        <f t="shared" si="740"/>
        <v>0</v>
      </c>
      <c r="P2507" s="287">
        <f t="shared" si="741"/>
        <v>0</v>
      </c>
      <c r="Q2507" s="288"/>
      <c r="R2507" s="311" t="str">
        <f>IF(P2506&gt;0,"xy","")</f>
        <v/>
      </c>
      <c r="S2507" s="378" t="str">
        <f t="shared" si="749"/>
        <v/>
      </c>
    </row>
    <row r="2508" spans="2:19" hidden="1" x14ac:dyDescent="0.2">
      <c r="B2508" s="708" t="s">
        <v>168</v>
      </c>
      <c r="C2508" s="596"/>
      <c r="D2508" s="383" t="s">
        <v>249</v>
      </c>
      <c r="E2508" s="704"/>
      <c r="F2508" s="661">
        <v>180</v>
      </c>
      <c r="G2508" s="665">
        <f>VLOOKUP(D2506,'ENSAIOS DE ORÇAMENTO'!$C$3:$L$79,5,FALSE)</f>
        <v>6.0316799999999997</v>
      </c>
      <c r="H2508" s="663">
        <f t="shared" ref="H2508" si="756">IF(F2508&lt;=30,(1.05*F2508+2.18)*G2508,((1.05*30+2.18)+0.87*(F2508-30))*G2508)</f>
        <v>990.28122240000005</v>
      </c>
      <c r="I2508" s="380"/>
      <c r="J2508" s="631"/>
      <c r="K2508" s="593">
        <f t="shared" si="752"/>
        <v>0</v>
      </c>
      <c r="L2508" s="594"/>
      <c r="M2508" s="600"/>
      <c r="N2508" s="600">
        <v>0</v>
      </c>
      <c r="O2508" s="287">
        <f t="shared" si="740"/>
        <v>0</v>
      </c>
      <c r="P2508" s="287">
        <f t="shared" si="741"/>
        <v>0</v>
      </c>
      <c r="Q2508" s="288"/>
      <c r="R2508" s="311" t="str">
        <f>IF(P2506&gt;0,"xy","")</f>
        <v/>
      </c>
      <c r="S2508" s="378" t="str">
        <f t="shared" si="749"/>
        <v/>
      </c>
    </row>
    <row r="2509" spans="2:19" hidden="1" x14ac:dyDescent="0.2">
      <c r="B2509" s="708" t="s">
        <v>168</v>
      </c>
      <c r="C2509" s="596"/>
      <c r="D2509" s="383" t="s">
        <v>253</v>
      </c>
      <c r="E2509" s="704"/>
      <c r="F2509" s="661">
        <v>20</v>
      </c>
      <c r="G2509" s="665">
        <f>VLOOKUP(D2506,'ENSAIOS DE ORÇAMENTO'!$C$3:$L$79,6,FALSE)</f>
        <v>11.634930000000001</v>
      </c>
      <c r="H2509" s="663">
        <f>IF(F2509&lt;=30,(1.05*F2509+2.18)*G2509,((1.05*30+2.18)+0.87*(F2509-30))*G2509)</f>
        <v>269.69767740000003</v>
      </c>
      <c r="I2509" s="380"/>
      <c r="J2509" s="631"/>
      <c r="K2509" s="593">
        <f t="shared" si="752"/>
        <v>0</v>
      </c>
      <c r="L2509" s="594"/>
      <c r="M2509" s="600"/>
      <c r="N2509" s="600">
        <v>0</v>
      </c>
      <c r="O2509" s="287">
        <f t="shared" si="740"/>
        <v>0</v>
      </c>
      <c r="P2509" s="287">
        <f t="shared" si="741"/>
        <v>0</v>
      </c>
      <c r="Q2509" s="288"/>
      <c r="R2509" s="243" t="str">
        <f>IF(P2506&gt;0,"xy","")</f>
        <v/>
      </c>
      <c r="S2509" s="378" t="str">
        <f t="shared" si="749"/>
        <v/>
      </c>
    </row>
    <row r="2510" spans="2:19" hidden="1" x14ac:dyDescent="0.2">
      <c r="B2510" s="708" t="s">
        <v>168</v>
      </c>
      <c r="C2510" s="596"/>
      <c r="D2510" s="383" t="s">
        <v>402</v>
      </c>
      <c r="E2510" s="704"/>
      <c r="F2510" s="661">
        <v>30</v>
      </c>
      <c r="G2510" s="665">
        <f>VLOOKUP(D2506,'ENSAIOS DE ORÇAMENTO'!$C$3:$L$79,3,FALSE)</f>
        <v>0</v>
      </c>
      <c r="H2510" s="663">
        <f>IF(F2510&lt;=30,(1.05*F2510+2.18)*G2510,((1.05*30+2.18)+0.87*(F2510-30))*G2510)</f>
        <v>0</v>
      </c>
      <c r="I2510" s="380"/>
      <c r="J2510" s="631"/>
      <c r="K2510" s="593">
        <f t="shared" si="752"/>
        <v>0</v>
      </c>
      <c r="L2510" s="594"/>
      <c r="M2510" s="600"/>
      <c r="N2510" s="600">
        <v>0</v>
      </c>
      <c r="O2510" s="287">
        <f t="shared" si="740"/>
        <v>0</v>
      </c>
      <c r="P2510" s="287">
        <f t="shared" si="741"/>
        <v>0</v>
      </c>
      <c r="Q2510" s="288"/>
      <c r="R2510" s="311" t="str">
        <f>IF(P2506&gt;0,"xy","")</f>
        <v/>
      </c>
      <c r="S2510" s="378" t="str">
        <f t="shared" si="749"/>
        <v/>
      </c>
    </row>
    <row r="2511" spans="2:19" hidden="1" x14ac:dyDescent="0.2">
      <c r="B2511" s="708" t="s">
        <v>168</v>
      </c>
      <c r="C2511" s="596"/>
      <c r="D2511" s="383" t="s">
        <v>403</v>
      </c>
      <c r="E2511" s="704"/>
      <c r="F2511" s="661">
        <v>500</v>
      </c>
      <c r="G2511" s="665">
        <f>VLOOKUP(D2506,'ENSAIOS DE ORÇAMENTO'!$C$3:$L$79,10,FALSE)</f>
        <v>0</v>
      </c>
      <c r="H2511" s="663">
        <f>IF(F2511&lt;=30,(1.05*F2511+2.18)*G2511,((1.05*30+2.18)+0.87*(F2511-30))*G2511)</f>
        <v>0</v>
      </c>
      <c r="I2511" s="380"/>
      <c r="J2511" s="631"/>
      <c r="K2511" s="593">
        <f t="shared" si="752"/>
        <v>0</v>
      </c>
      <c r="L2511" s="594"/>
      <c r="M2511" s="600"/>
      <c r="N2511" s="600">
        <v>0</v>
      </c>
      <c r="O2511" s="287">
        <f t="shared" si="740"/>
        <v>0</v>
      </c>
      <c r="P2511" s="287">
        <f t="shared" si="741"/>
        <v>0</v>
      </c>
      <c r="Q2511" s="288"/>
      <c r="R2511" s="311" t="str">
        <f>IF(P2506&gt;0,"xy","")</f>
        <v/>
      </c>
      <c r="S2511" s="378" t="str">
        <f t="shared" si="749"/>
        <v/>
      </c>
    </row>
    <row r="2512" spans="2:19" hidden="1" x14ac:dyDescent="0.2">
      <c r="B2512" s="708" t="s">
        <v>53</v>
      </c>
      <c r="C2512" s="596" t="s">
        <v>207</v>
      </c>
      <c r="D2512" s="383" t="s">
        <v>165</v>
      </c>
      <c r="E2512" s="704"/>
      <c r="F2512" s="661"/>
      <c r="G2512" s="665"/>
      <c r="H2512" s="664">
        <f>SUM(H2513:H2517)</f>
        <v>2860.5479019000004</v>
      </c>
      <c r="I2512" s="380">
        <f>VLOOKUP(D2512,'ENSAIOS DE ORÇAMENTO'!$C$3:$L$79,8,FALSE)</f>
        <v>5668.0147666666671</v>
      </c>
      <c r="J2512" s="631">
        <f t="shared" ref="J2512" si="757">IF(ISBLANK(I2512),"",SUM(H2512:I2512))</f>
        <v>8528.5626685666684</v>
      </c>
      <c r="K2512" s="593">
        <f t="shared" si="752"/>
        <v>10809.95</v>
      </c>
      <c r="L2512" s="594" t="s">
        <v>21</v>
      </c>
      <c r="M2512" s="30"/>
      <c r="N2512" s="30">
        <v>10809.95</v>
      </c>
      <c r="O2512" s="287">
        <f t="shared" si="740"/>
        <v>0</v>
      </c>
      <c r="P2512" s="287">
        <f t="shared" si="741"/>
        <v>0</v>
      </c>
      <c r="Q2512" s="288"/>
      <c r="S2512" s="378" t="str">
        <f t="shared" si="749"/>
        <v/>
      </c>
    </row>
    <row r="2513" spans="2:19" hidden="1" x14ac:dyDescent="0.2">
      <c r="B2513" s="708" t="s">
        <v>168</v>
      </c>
      <c r="C2513" s="596"/>
      <c r="D2513" s="383" t="s">
        <v>213</v>
      </c>
      <c r="E2513" s="704"/>
      <c r="F2513" s="661">
        <v>500</v>
      </c>
      <c r="G2513" s="665">
        <f>VLOOKUP(D2512,'ENSAIOS DE ORÇAMENTO'!$C$3:$L$79,4,FALSE)</f>
        <v>2.41967</v>
      </c>
      <c r="H2513" s="664">
        <f>IF(F2513&lt;=30,(0.75*F2513+6.29)*G2513,((0.75*30+6.29)+0.62*(F2513-30))*G2513)</f>
        <v>774.75413730000002</v>
      </c>
      <c r="I2513" s="380"/>
      <c r="J2513" s="631"/>
      <c r="K2513" s="593">
        <f t="shared" si="752"/>
        <v>0</v>
      </c>
      <c r="L2513" s="594"/>
      <c r="M2513" s="600"/>
      <c r="N2513" s="600">
        <v>0</v>
      </c>
      <c r="O2513" s="287">
        <f t="shared" si="740"/>
        <v>0</v>
      </c>
      <c r="P2513" s="287">
        <f t="shared" si="741"/>
        <v>0</v>
      </c>
      <c r="Q2513" s="288"/>
      <c r="R2513" s="311" t="str">
        <f>IF(P2512&gt;0,"xy","")</f>
        <v/>
      </c>
      <c r="S2513" s="378" t="str">
        <f t="shared" si="749"/>
        <v/>
      </c>
    </row>
    <row r="2514" spans="2:19" hidden="1" x14ac:dyDescent="0.2">
      <c r="B2514" s="708" t="s">
        <v>168</v>
      </c>
      <c r="C2514" s="596"/>
      <c r="D2514" s="383" t="s">
        <v>249</v>
      </c>
      <c r="E2514" s="704"/>
      <c r="F2514" s="661">
        <v>180</v>
      </c>
      <c r="G2514" s="665">
        <f>VLOOKUP(D2512,'ENSAIOS DE ORÇAMENTO'!$C$3:$L$79,5,FALSE)</f>
        <v>9.9546600000000005</v>
      </c>
      <c r="H2514" s="663">
        <f t="shared" ref="H2514" si="758">IF(F2514&lt;=30,(1.05*F2514+2.18)*G2514,((1.05*30+2.18)+0.87*(F2514-30))*G2514)</f>
        <v>1634.3560788000002</v>
      </c>
      <c r="I2514" s="380"/>
      <c r="J2514" s="631"/>
      <c r="K2514" s="593">
        <f t="shared" si="752"/>
        <v>0</v>
      </c>
      <c r="L2514" s="594"/>
      <c r="M2514" s="600"/>
      <c r="N2514" s="600">
        <v>0</v>
      </c>
      <c r="O2514" s="287">
        <f t="shared" si="740"/>
        <v>0</v>
      </c>
      <c r="P2514" s="287">
        <f t="shared" si="741"/>
        <v>0</v>
      </c>
      <c r="Q2514" s="288"/>
      <c r="R2514" s="311" t="str">
        <f>IF(P2512&gt;0,"xy","")</f>
        <v/>
      </c>
      <c r="S2514" s="378" t="str">
        <f t="shared" si="749"/>
        <v/>
      </c>
    </row>
    <row r="2515" spans="2:19" hidden="1" x14ac:dyDescent="0.2">
      <c r="B2515" s="708" t="s">
        <v>168</v>
      </c>
      <c r="C2515" s="596"/>
      <c r="D2515" s="383" t="s">
        <v>253</v>
      </c>
      <c r="E2515" s="704"/>
      <c r="F2515" s="661">
        <v>20</v>
      </c>
      <c r="G2515" s="665">
        <f>VLOOKUP(D2512,'ENSAIOS DE ORÇAMENTO'!$C$3:$L$79,6,FALSE)</f>
        <v>19.47531</v>
      </c>
      <c r="H2515" s="663">
        <f>IF(F2515&lt;=30,(1.05*F2515+2.18)*G2515,((1.05*30+2.18)+0.87*(F2515-30))*G2515)</f>
        <v>451.4376858</v>
      </c>
      <c r="I2515" s="380"/>
      <c r="J2515" s="631"/>
      <c r="K2515" s="593">
        <f t="shared" si="752"/>
        <v>0</v>
      </c>
      <c r="L2515" s="594"/>
      <c r="M2515" s="600"/>
      <c r="N2515" s="600">
        <v>0</v>
      </c>
      <c r="O2515" s="287">
        <f t="shared" si="740"/>
        <v>0</v>
      </c>
      <c r="P2515" s="287">
        <f t="shared" si="741"/>
        <v>0</v>
      </c>
      <c r="Q2515" s="288"/>
      <c r="R2515" s="243" t="str">
        <f>IF(P2512&gt;0,"xy","")</f>
        <v/>
      </c>
      <c r="S2515" s="378" t="str">
        <f t="shared" si="749"/>
        <v/>
      </c>
    </row>
    <row r="2516" spans="2:19" hidden="1" x14ac:dyDescent="0.2">
      <c r="B2516" s="708" t="s">
        <v>168</v>
      </c>
      <c r="C2516" s="596"/>
      <c r="D2516" s="383" t="s">
        <v>402</v>
      </c>
      <c r="E2516" s="704"/>
      <c r="F2516" s="661">
        <v>30</v>
      </c>
      <c r="G2516" s="665">
        <f>VLOOKUP(D2512,'ENSAIOS DE ORÇAMENTO'!$C$3:$L$79,3,FALSE)</f>
        <v>0</v>
      </c>
      <c r="H2516" s="663">
        <f>IF(F2516&lt;=30,(1.05*F2516+2.18)*G2516,((1.05*30+2.18)+0.87*(F2516-30))*G2516)</f>
        <v>0</v>
      </c>
      <c r="I2516" s="380"/>
      <c r="J2516" s="631"/>
      <c r="K2516" s="593">
        <f t="shared" si="752"/>
        <v>0</v>
      </c>
      <c r="L2516" s="594"/>
      <c r="M2516" s="600"/>
      <c r="N2516" s="600">
        <v>0</v>
      </c>
      <c r="O2516" s="287">
        <f t="shared" si="740"/>
        <v>0</v>
      </c>
      <c r="P2516" s="287">
        <f t="shared" si="741"/>
        <v>0</v>
      </c>
      <c r="Q2516" s="288"/>
      <c r="R2516" s="311" t="str">
        <f>IF(P2512&gt;0,"xy","")</f>
        <v/>
      </c>
      <c r="S2516" s="378" t="str">
        <f t="shared" si="749"/>
        <v/>
      </c>
    </row>
    <row r="2517" spans="2:19" hidden="1" x14ac:dyDescent="0.2">
      <c r="B2517" s="708" t="s">
        <v>168</v>
      </c>
      <c r="C2517" s="596"/>
      <c r="D2517" s="383" t="s">
        <v>403</v>
      </c>
      <c r="E2517" s="704"/>
      <c r="F2517" s="661">
        <v>500</v>
      </c>
      <c r="G2517" s="665">
        <f>VLOOKUP(D2512,'ENSAIOS DE ORÇAMENTO'!$C$3:$L$79,10,FALSE)</f>
        <v>0</v>
      </c>
      <c r="H2517" s="663">
        <f>IF(F2517&lt;=30,(1.05*F2517+2.18)*G2517,((1.05*30+2.18)+0.87*(F2517-30))*G2517)</f>
        <v>0</v>
      </c>
      <c r="I2517" s="380"/>
      <c r="J2517" s="631"/>
      <c r="K2517" s="593">
        <f t="shared" si="752"/>
        <v>0</v>
      </c>
      <c r="L2517" s="594"/>
      <c r="M2517" s="600"/>
      <c r="N2517" s="600">
        <v>0</v>
      </c>
      <c r="O2517" s="287">
        <f t="shared" si="740"/>
        <v>0</v>
      </c>
      <c r="P2517" s="287">
        <f t="shared" si="741"/>
        <v>0</v>
      </c>
      <c r="Q2517" s="288"/>
      <c r="R2517" s="311" t="str">
        <f>IF(P2512&gt;0,"xy","")</f>
        <v/>
      </c>
      <c r="S2517" s="378" t="str">
        <f t="shared" si="749"/>
        <v/>
      </c>
    </row>
    <row r="2518" spans="2:19" hidden="1" x14ac:dyDescent="0.2">
      <c r="B2518" s="708" t="s">
        <v>430</v>
      </c>
      <c r="C2518" s="596" t="s">
        <v>207</v>
      </c>
      <c r="D2518" s="383" t="str">
        <f>'ENSAIOS DE ORÇAMENTO'!C70</f>
        <v>ENSAIO DE ORÇAMENTO 1</v>
      </c>
      <c r="E2518" s="704"/>
      <c r="F2518" s="661"/>
      <c r="G2518" s="665"/>
      <c r="H2518" s="664">
        <f>SUM(H2519:H2523)</f>
        <v>0</v>
      </c>
      <c r="I2518" s="380">
        <f>VLOOKUP(D2518,'ENSAIOS DE ORÇAMENTO'!$C$3:$L$79,8,FALSE)</f>
        <v>0</v>
      </c>
      <c r="J2518" s="631">
        <f t="shared" ref="J2518" si="759">IF(ISBLANK(I2518),"",SUM(H2518:I2518))</f>
        <v>0</v>
      </c>
      <c r="K2518" s="593">
        <f t="shared" si="752"/>
        <v>0</v>
      </c>
      <c r="L2518" s="594"/>
      <c r="M2518" s="30"/>
      <c r="N2518" s="30">
        <v>0</v>
      </c>
      <c r="O2518" s="287">
        <f t="shared" si="740"/>
        <v>0</v>
      </c>
      <c r="P2518" s="287">
        <f t="shared" si="741"/>
        <v>0</v>
      </c>
      <c r="Q2518" s="288"/>
      <c r="S2518" s="378" t="str">
        <f t="shared" si="749"/>
        <v/>
      </c>
    </row>
    <row r="2519" spans="2:19" hidden="1" x14ac:dyDescent="0.2">
      <c r="B2519" s="708" t="s">
        <v>168</v>
      </c>
      <c r="C2519" s="596"/>
      <c r="D2519" s="417" t="s">
        <v>213</v>
      </c>
      <c r="E2519" s="704"/>
      <c r="F2519" s="661">
        <v>500</v>
      </c>
      <c r="G2519" s="665">
        <f>VLOOKUP(D2518,'ENSAIOS DE ORÇAMENTO'!$C$3:$L$79,4,FALSE)</f>
        <v>0</v>
      </c>
      <c r="H2519" s="664">
        <f>IF(F2519&lt;=30,(0.75*F2519+6.29)*G2519,((0.75*30+6.29)+0.62*(F2519-30))*G2519)</f>
        <v>0</v>
      </c>
      <c r="I2519" s="380"/>
      <c r="J2519" s="631" t="str">
        <f t="shared" ref="J2519:J2523" si="760">IF(ISBLANK(I2519),"",SUM(H2519:I2519))</f>
        <v/>
      </c>
      <c r="K2519" s="593">
        <f t="shared" si="752"/>
        <v>0</v>
      </c>
      <c r="L2519" s="651"/>
      <c r="M2519" s="418"/>
      <c r="N2519" s="419">
        <v>0</v>
      </c>
      <c r="O2519" s="287">
        <f t="shared" si="740"/>
        <v>0</v>
      </c>
      <c r="P2519" s="287">
        <f t="shared" si="741"/>
        <v>0</v>
      </c>
      <c r="Q2519" s="288"/>
      <c r="R2519" s="311" t="str">
        <f>IF(P2518&gt;0,"xy","")</f>
        <v/>
      </c>
      <c r="S2519" s="378" t="str">
        <f t="shared" si="749"/>
        <v/>
      </c>
    </row>
    <row r="2520" spans="2:19" hidden="1" x14ac:dyDescent="0.2">
      <c r="B2520" s="708" t="s">
        <v>168</v>
      </c>
      <c r="C2520" s="596"/>
      <c r="D2520" s="417" t="s">
        <v>249</v>
      </c>
      <c r="E2520" s="704"/>
      <c r="F2520" s="661">
        <v>180</v>
      </c>
      <c r="G2520" s="665">
        <f>VLOOKUP(D2518,'ENSAIOS DE ORÇAMENTO'!$C$3:$L$79,5,FALSE)</f>
        <v>0</v>
      </c>
      <c r="H2520" s="663">
        <f t="shared" ref="H2520" si="761">IF(F2520&lt;=30,(1.05*F2520+2.18)*G2520,((1.05*30+2.18)+0.87*(F2520-30))*G2520)</f>
        <v>0</v>
      </c>
      <c r="I2520" s="380"/>
      <c r="J2520" s="631" t="str">
        <f t="shared" si="760"/>
        <v/>
      </c>
      <c r="K2520" s="593">
        <f t="shared" si="752"/>
        <v>0</v>
      </c>
      <c r="L2520" s="651"/>
      <c r="M2520" s="418"/>
      <c r="N2520" s="419">
        <v>0</v>
      </c>
      <c r="O2520" s="287">
        <f t="shared" si="740"/>
        <v>0</v>
      </c>
      <c r="P2520" s="287">
        <f t="shared" si="741"/>
        <v>0</v>
      </c>
      <c r="Q2520" s="288"/>
      <c r="R2520" s="311" t="str">
        <f>IF(P2518&gt;0,"xy","")</f>
        <v/>
      </c>
      <c r="S2520" s="378" t="str">
        <f t="shared" si="749"/>
        <v/>
      </c>
    </row>
    <row r="2521" spans="2:19" hidden="1" x14ac:dyDescent="0.2">
      <c r="B2521" s="708" t="s">
        <v>168</v>
      </c>
      <c r="C2521" s="596"/>
      <c r="D2521" s="417" t="s">
        <v>253</v>
      </c>
      <c r="E2521" s="704"/>
      <c r="F2521" s="661">
        <v>20</v>
      </c>
      <c r="G2521" s="665">
        <f>VLOOKUP(D2518,'ENSAIOS DE ORÇAMENTO'!$C$3:$L$79,6,FALSE)</f>
        <v>0</v>
      </c>
      <c r="H2521" s="663">
        <f>IF(F2521&lt;=30,(1.05*F2521+2.18)*G2521,((1.05*30+2.18)+0.87*(F2521-30))*G2521)</f>
        <v>0</v>
      </c>
      <c r="I2521" s="380"/>
      <c r="J2521" s="631" t="str">
        <f t="shared" si="760"/>
        <v/>
      </c>
      <c r="K2521" s="593">
        <f t="shared" si="752"/>
        <v>0</v>
      </c>
      <c r="L2521" s="651"/>
      <c r="M2521" s="418"/>
      <c r="N2521" s="419">
        <v>0</v>
      </c>
      <c r="O2521" s="287">
        <f t="shared" si="740"/>
        <v>0</v>
      </c>
      <c r="P2521" s="287">
        <f t="shared" si="741"/>
        <v>0</v>
      </c>
      <c r="Q2521" s="288"/>
      <c r="R2521" s="243" t="str">
        <f>IF(P2518&gt;0,"xy","")</f>
        <v/>
      </c>
      <c r="S2521" s="378" t="str">
        <f t="shared" si="749"/>
        <v/>
      </c>
    </row>
    <row r="2522" spans="2:19" hidden="1" x14ac:dyDescent="0.2">
      <c r="B2522" s="708" t="s">
        <v>168</v>
      </c>
      <c r="C2522" s="596"/>
      <c r="D2522" s="417" t="s">
        <v>402</v>
      </c>
      <c r="E2522" s="704"/>
      <c r="F2522" s="661">
        <v>30</v>
      </c>
      <c r="G2522" s="665">
        <f>VLOOKUP(D2518,'ENSAIOS DE ORÇAMENTO'!$C$3:$L$79,3,FALSE)</f>
        <v>0</v>
      </c>
      <c r="H2522" s="663">
        <f>IF(F2522&lt;=30,(1.05*F2522+2.18)*G2522,((1.05*30+2.18)+0.87*(F2522-30))*G2522)</f>
        <v>0</v>
      </c>
      <c r="I2522" s="380"/>
      <c r="J2522" s="631" t="str">
        <f t="shared" si="760"/>
        <v/>
      </c>
      <c r="K2522" s="593">
        <f t="shared" si="752"/>
        <v>0</v>
      </c>
      <c r="L2522" s="651"/>
      <c r="M2522" s="418"/>
      <c r="N2522" s="419">
        <v>0</v>
      </c>
      <c r="O2522" s="287">
        <f t="shared" si="740"/>
        <v>0</v>
      </c>
      <c r="P2522" s="287">
        <f t="shared" si="741"/>
        <v>0</v>
      </c>
      <c r="Q2522" s="288"/>
      <c r="R2522" s="311" t="str">
        <f>IF(P2518&gt;0,"xy","")</f>
        <v/>
      </c>
      <c r="S2522" s="378" t="str">
        <f t="shared" si="749"/>
        <v/>
      </c>
    </row>
    <row r="2523" spans="2:19" hidden="1" x14ac:dyDescent="0.2">
      <c r="B2523" s="708" t="s">
        <v>168</v>
      </c>
      <c r="C2523" s="596"/>
      <c r="D2523" s="417" t="s">
        <v>403</v>
      </c>
      <c r="E2523" s="704"/>
      <c r="F2523" s="661">
        <v>500</v>
      </c>
      <c r="G2523" s="665">
        <f>VLOOKUP(D2518,'ENSAIOS DE ORÇAMENTO'!$C$3:$L$79,10,FALSE)</f>
        <v>0</v>
      </c>
      <c r="H2523" s="663">
        <f>IF(F2523&lt;=30,(1.05*F2523+2.18)*G2523,((1.05*30+2.18)+0.87*(F2523-30))*G2523)</f>
        <v>0</v>
      </c>
      <c r="I2523" s="380"/>
      <c r="J2523" s="631" t="str">
        <f t="shared" si="760"/>
        <v/>
      </c>
      <c r="K2523" s="593">
        <f t="shared" si="752"/>
        <v>0</v>
      </c>
      <c r="L2523" s="651"/>
      <c r="M2523" s="418"/>
      <c r="N2523" s="419">
        <v>0</v>
      </c>
      <c r="O2523" s="287">
        <f t="shared" si="740"/>
        <v>0</v>
      </c>
      <c r="P2523" s="287">
        <f t="shared" si="741"/>
        <v>0</v>
      </c>
      <c r="Q2523" s="288"/>
      <c r="R2523" s="311" t="str">
        <f>IF(P2518&gt;0,"xy","")</f>
        <v/>
      </c>
      <c r="S2523" s="378" t="str">
        <f t="shared" si="749"/>
        <v/>
      </c>
    </row>
    <row r="2524" spans="2:19" hidden="1" x14ac:dyDescent="0.2">
      <c r="B2524" s="708" t="s">
        <v>431</v>
      </c>
      <c r="C2524" s="596" t="s">
        <v>207</v>
      </c>
      <c r="D2524" s="383" t="str">
        <f>'ENSAIOS DE ORÇAMENTO'!C71</f>
        <v>ENSAIO DE ORÇAMENTO 2</v>
      </c>
      <c r="E2524" s="704"/>
      <c r="F2524" s="661"/>
      <c r="G2524" s="665"/>
      <c r="H2524" s="664">
        <f>SUM(H2525:H2529)</f>
        <v>0</v>
      </c>
      <c r="I2524" s="380">
        <f>VLOOKUP(D2524,'ENSAIOS DE ORÇAMENTO'!$C$3:$L$79,8,FALSE)</f>
        <v>0</v>
      </c>
      <c r="J2524" s="631">
        <f t="shared" ref="J2524" si="762">IF(ISBLANK(I2524),"",SUM(H2524:I2524))</f>
        <v>0</v>
      </c>
      <c r="K2524" s="593">
        <f t="shared" si="752"/>
        <v>0</v>
      </c>
      <c r="L2524" s="594"/>
      <c r="M2524" s="30"/>
      <c r="N2524" s="30">
        <v>0</v>
      </c>
      <c r="O2524" s="287">
        <f t="shared" si="740"/>
        <v>0</v>
      </c>
      <c r="P2524" s="287">
        <f t="shared" si="741"/>
        <v>0</v>
      </c>
      <c r="Q2524" s="288"/>
      <c r="S2524" s="378" t="str">
        <f t="shared" si="749"/>
        <v/>
      </c>
    </row>
    <row r="2525" spans="2:19" hidden="1" x14ac:dyDescent="0.2">
      <c r="B2525" s="708" t="s">
        <v>168</v>
      </c>
      <c r="C2525" s="596"/>
      <c r="D2525" s="417" t="s">
        <v>213</v>
      </c>
      <c r="E2525" s="704"/>
      <c r="F2525" s="661">
        <v>500</v>
      </c>
      <c r="G2525" s="665">
        <f>VLOOKUP(D2524,'ENSAIOS DE ORÇAMENTO'!$C$3:$L$79,4,FALSE)</f>
        <v>0</v>
      </c>
      <c r="H2525" s="664">
        <f>IF(F2525&lt;=30,(0.75*F2525+6.29)*G2525,((0.75*30+6.29)+0.62*(F2525-30))*G2525)</f>
        <v>0</v>
      </c>
      <c r="I2525" s="380"/>
      <c r="J2525" s="631" t="str">
        <f t="shared" ref="J2525:J2529" si="763">IF(ISBLANK(I2525),"",SUM(H2525:I2525))</f>
        <v/>
      </c>
      <c r="K2525" s="593">
        <f t="shared" si="752"/>
        <v>0</v>
      </c>
      <c r="L2525" s="651"/>
      <c r="M2525" s="418"/>
      <c r="N2525" s="419">
        <v>0</v>
      </c>
      <c r="O2525" s="287">
        <f t="shared" si="740"/>
        <v>0</v>
      </c>
      <c r="P2525" s="287">
        <f t="shared" si="741"/>
        <v>0</v>
      </c>
      <c r="Q2525" s="288"/>
      <c r="R2525" s="311" t="str">
        <f>IF(P2524&gt;0,"xy","")</f>
        <v/>
      </c>
      <c r="S2525" s="378" t="str">
        <f t="shared" si="749"/>
        <v/>
      </c>
    </row>
    <row r="2526" spans="2:19" hidden="1" x14ac:dyDescent="0.2">
      <c r="B2526" s="708" t="s">
        <v>168</v>
      </c>
      <c r="C2526" s="596"/>
      <c r="D2526" s="417" t="s">
        <v>249</v>
      </c>
      <c r="E2526" s="704"/>
      <c r="F2526" s="661">
        <v>180</v>
      </c>
      <c r="G2526" s="665">
        <f>VLOOKUP(D2524,'ENSAIOS DE ORÇAMENTO'!$C$3:$L$79,5,FALSE)</f>
        <v>0</v>
      </c>
      <c r="H2526" s="663">
        <f t="shared" ref="H2526" si="764">IF(F2526&lt;=30,(1.05*F2526+2.18)*G2526,((1.05*30+2.18)+0.87*(F2526-30))*G2526)</f>
        <v>0</v>
      </c>
      <c r="I2526" s="380"/>
      <c r="J2526" s="631" t="str">
        <f t="shared" si="763"/>
        <v/>
      </c>
      <c r="K2526" s="593">
        <f t="shared" si="752"/>
        <v>0</v>
      </c>
      <c r="L2526" s="651"/>
      <c r="M2526" s="418"/>
      <c r="N2526" s="419">
        <v>0</v>
      </c>
      <c r="O2526" s="287">
        <f t="shared" si="740"/>
        <v>0</v>
      </c>
      <c r="P2526" s="287">
        <f t="shared" si="741"/>
        <v>0</v>
      </c>
      <c r="Q2526" s="288"/>
      <c r="R2526" s="311" t="str">
        <f>IF(P2524&gt;0,"xy","")</f>
        <v/>
      </c>
      <c r="S2526" s="378" t="str">
        <f t="shared" si="749"/>
        <v/>
      </c>
    </row>
    <row r="2527" spans="2:19" hidden="1" x14ac:dyDescent="0.2">
      <c r="B2527" s="708" t="s">
        <v>168</v>
      </c>
      <c r="C2527" s="596"/>
      <c r="D2527" s="417" t="s">
        <v>253</v>
      </c>
      <c r="E2527" s="704"/>
      <c r="F2527" s="661">
        <v>20</v>
      </c>
      <c r="G2527" s="665">
        <f>VLOOKUP(D2524,'ENSAIOS DE ORÇAMENTO'!$C$3:$L$79,6,FALSE)</f>
        <v>0</v>
      </c>
      <c r="H2527" s="663">
        <f>IF(F2527&lt;=30,(1.05*F2527+2.18)*G2527,((1.05*30+2.18)+0.87*(F2527-30))*G2527)</f>
        <v>0</v>
      </c>
      <c r="I2527" s="380"/>
      <c r="J2527" s="631" t="str">
        <f t="shared" si="763"/>
        <v/>
      </c>
      <c r="K2527" s="593">
        <f t="shared" si="752"/>
        <v>0</v>
      </c>
      <c r="L2527" s="651"/>
      <c r="M2527" s="418"/>
      <c r="N2527" s="419">
        <v>0</v>
      </c>
      <c r="O2527" s="287">
        <f t="shared" si="740"/>
        <v>0</v>
      </c>
      <c r="P2527" s="287">
        <f t="shared" si="741"/>
        <v>0</v>
      </c>
      <c r="Q2527" s="288"/>
      <c r="R2527" s="243" t="str">
        <f>IF(P2524&gt;0,"xy","")</f>
        <v/>
      </c>
      <c r="S2527" s="378" t="str">
        <f t="shared" si="749"/>
        <v/>
      </c>
    </row>
    <row r="2528" spans="2:19" hidden="1" x14ac:dyDescent="0.2">
      <c r="B2528" s="708" t="s">
        <v>168</v>
      </c>
      <c r="C2528" s="596"/>
      <c r="D2528" s="417" t="s">
        <v>402</v>
      </c>
      <c r="E2528" s="704"/>
      <c r="F2528" s="661">
        <v>30</v>
      </c>
      <c r="G2528" s="665">
        <f>VLOOKUP(D2524,'ENSAIOS DE ORÇAMENTO'!$C$3:$L$79,3,FALSE)</f>
        <v>0</v>
      </c>
      <c r="H2528" s="663">
        <f>IF(F2528&lt;=30,(1.05*F2528+2.18)*G2528,((1.05*30+2.18)+0.87*(F2528-30))*G2528)</f>
        <v>0</v>
      </c>
      <c r="I2528" s="380"/>
      <c r="J2528" s="631" t="str">
        <f t="shared" si="763"/>
        <v/>
      </c>
      <c r="K2528" s="593">
        <f t="shared" si="752"/>
        <v>0</v>
      </c>
      <c r="L2528" s="651"/>
      <c r="M2528" s="418"/>
      <c r="N2528" s="419">
        <v>0</v>
      </c>
      <c r="O2528" s="287">
        <f t="shared" si="740"/>
        <v>0</v>
      </c>
      <c r="P2528" s="287">
        <f t="shared" si="741"/>
        <v>0</v>
      </c>
      <c r="Q2528" s="288"/>
      <c r="R2528" s="311" t="str">
        <f>IF(P2524&gt;0,"xy","")</f>
        <v/>
      </c>
      <c r="S2528" s="378" t="str">
        <f t="shared" si="749"/>
        <v/>
      </c>
    </row>
    <row r="2529" spans="2:19" hidden="1" x14ac:dyDescent="0.2">
      <c r="B2529" s="708" t="s">
        <v>168</v>
      </c>
      <c r="C2529" s="596"/>
      <c r="D2529" s="417" t="s">
        <v>403</v>
      </c>
      <c r="E2529" s="704"/>
      <c r="F2529" s="661">
        <v>500</v>
      </c>
      <c r="G2529" s="665">
        <f>VLOOKUP(D2524,'ENSAIOS DE ORÇAMENTO'!$C$3:$L$79,10,FALSE)</f>
        <v>0</v>
      </c>
      <c r="H2529" s="663">
        <f>IF(F2529&lt;=30,(1.05*F2529+2.18)*G2529,((1.05*30+2.18)+0.87*(F2529-30))*G2529)</f>
        <v>0</v>
      </c>
      <c r="I2529" s="380"/>
      <c r="J2529" s="631" t="str">
        <f t="shared" si="763"/>
        <v/>
      </c>
      <c r="K2529" s="593">
        <f t="shared" si="752"/>
        <v>0</v>
      </c>
      <c r="L2529" s="651"/>
      <c r="M2529" s="418"/>
      <c r="N2529" s="419">
        <v>0</v>
      </c>
      <c r="O2529" s="287">
        <f t="shared" si="740"/>
        <v>0</v>
      </c>
      <c r="P2529" s="287">
        <f t="shared" si="741"/>
        <v>0</v>
      </c>
      <c r="Q2529" s="288"/>
      <c r="R2529" s="311" t="str">
        <f>IF(P2524&gt;0,"xy","")</f>
        <v/>
      </c>
      <c r="S2529" s="378" t="str">
        <f t="shared" si="749"/>
        <v/>
      </c>
    </row>
    <row r="2530" spans="2:19" hidden="1" x14ac:dyDescent="0.2">
      <c r="B2530" s="708" t="s">
        <v>432</v>
      </c>
      <c r="C2530" s="596" t="s">
        <v>207</v>
      </c>
      <c r="D2530" s="383" t="str">
        <f>'ENSAIOS DE ORÇAMENTO'!C72</f>
        <v>ENSAIO DE ORÇAMENTO 3</v>
      </c>
      <c r="E2530" s="704"/>
      <c r="F2530" s="661"/>
      <c r="G2530" s="665"/>
      <c r="H2530" s="664">
        <f>SUM(H2531:H2535)</f>
        <v>0</v>
      </c>
      <c r="I2530" s="380">
        <f>VLOOKUP(D2530,'ENSAIOS DE ORÇAMENTO'!$C$3:$L$79,8,FALSE)</f>
        <v>0</v>
      </c>
      <c r="J2530" s="631">
        <f t="shared" ref="J2530" si="765">IF(ISBLANK(I2530),"",SUM(H2530:I2530))</f>
        <v>0</v>
      </c>
      <c r="K2530" s="593">
        <f t="shared" si="752"/>
        <v>0</v>
      </c>
      <c r="L2530" s="594"/>
      <c r="M2530" s="30"/>
      <c r="N2530" s="30">
        <v>0</v>
      </c>
      <c r="O2530" s="287">
        <f t="shared" si="740"/>
        <v>0</v>
      </c>
      <c r="P2530" s="287">
        <f t="shared" si="741"/>
        <v>0</v>
      </c>
      <c r="Q2530" s="288"/>
      <c r="S2530" s="378" t="str">
        <f t="shared" si="749"/>
        <v/>
      </c>
    </row>
    <row r="2531" spans="2:19" hidden="1" x14ac:dyDescent="0.2">
      <c r="B2531" s="708" t="s">
        <v>168</v>
      </c>
      <c r="C2531" s="596"/>
      <c r="D2531" s="417" t="s">
        <v>213</v>
      </c>
      <c r="E2531" s="704"/>
      <c r="F2531" s="661">
        <v>500</v>
      </c>
      <c r="G2531" s="665">
        <f>VLOOKUP(D2530,'ENSAIOS DE ORÇAMENTO'!$C$3:$L$79,4,FALSE)</f>
        <v>0</v>
      </c>
      <c r="H2531" s="664">
        <f>IF(F2531&lt;=30,(0.75*F2531+6.29)*G2531,((0.75*30+6.29)+0.62*(F2531-30))*G2531)</f>
        <v>0</v>
      </c>
      <c r="I2531" s="380"/>
      <c r="J2531" s="631" t="str">
        <f t="shared" ref="J2531:J2535" si="766">IF(ISBLANK(I2531),"",SUM(H2531:I2531))</f>
        <v/>
      </c>
      <c r="K2531" s="593">
        <f t="shared" si="752"/>
        <v>0</v>
      </c>
      <c r="L2531" s="651"/>
      <c r="M2531" s="418"/>
      <c r="N2531" s="419">
        <v>0</v>
      </c>
      <c r="O2531" s="287">
        <f t="shared" si="740"/>
        <v>0</v>
      </c>
      <c r="P2531" s="287">
        <f t="shared" si="741"/>
        <v>0</v>
      </c>
      <c r="Q2531" s="288"/>
      <c r="R2531" s="311" t="str">
        <f>IF(P2530&gt;0,"xy","")</f>
        <v/>
      </c>
      <c r="S2531" s="378" t="str">
        <f t="shared" si="749"/>
        <v/>
      </c>
    </row>
    <row r="2532" spans="2:19" hidden="1" x14ac:dyDescent="0.2">
      <c r="B2532" s="708" t="s">
        <v>168</v>
      </c>
      <c r="C2532" s="596"/>
      <c r="D2532" s="417" t="s">
        <v>249</v>
      </c>
      <c r="E2532" s="704"/>
      <c r="F2532" s="661">
        <v>180</v>
      </c>
      <c r="G2532" s="665">
        <f>VLOOKUP(D2530,'ENSAIOS DE ORÇAMENTO'!$C$3:$L$79,5,FALSE)</f>
        <v>0</v>
      </c>
      <c r="H2532" s="663">
        <f t="shared" ref="H2532" si="767">IF(F2532&lt;=30,(1.05*F2532+2.18)*G2532,((1.05*30+2.18)+0.87*(F2532-30))*G2532)</f>
        <v>0</v>
      </c>
      <c r="I2532" s="380"/>
      <c r="J2532" s="631" t="str">
        <f t="shared" si="766"/>
        <v/>
      </c>
      <c r="K2532" s="593">
        <f t="shared" si="752"/>
        <v>0</v>
      </c>
      <c r="L2532" s="651"/>
      <c r="M2532" s="418"/>
      <c r="N2532" s="419">
        <v>0</v>
      </c>
      <c r="O2532" s="287">
        <f t="shared" si="740"/>
        <v>0</v>
      </c>
      <c r="P2532" s="287">
        <f t="shared" si="741"/>
        <v>0</v>
      </c>
      <c r="Q2532" s="288"/>
      <c r="R2532" s="311" t="str">
        <f>IF(P2530&gt;0,"xy","")</f>
        <v/>
      </c>
      <c r="S2532" s="378" t="str">
        <f t="shared" si="749"/>
        <v/>
      </c>
    </row>
    <row r="2533" spans="2:19" hidden="1" x14ac:dyDescent="0.2">
      <c r="B2533" s="708" t="s">
        <v>168</v>
      </c>
      <c r="C2533" s="596"/>
      <c r="D2533" s="417" t="s">
        <v>253</v>
      </c>
      <c r="E2533" s="704"/>
      <c r="F2533" s="661">
        <v>20</v>
      </c>
      <c r="G2533" s="665">
        <f>VLOOKUP(D2530,'ENSAIOS DE ORÇAMENTO'!$C$3:$L$79,6,FALSE)</f>
        <v>0</v>
      </c>
      <c r="H2533" s="663">
        <f>IF(F2533&lt;=30,(1.05*F2533+2.18)*G2533,((1.05*30+2.18)+0.87*(F2533-30))*G2533)</f>
        <v>0</v>
      </c>
      <c r="I2533" s="380"/>
      <c r="J2533" s="631" t="str">
        <f t="shared" si="766"/>
        <v/>
      </c>
      <c r="K2533" s="593">
        <f t="shared" si="752"/>
        <v>0</v>
      </c>
      <c r="L2533" s="651"/>
      <c r="M2533" s="418"/>
      <c r="N2533" s="419">
        <v>0</v>
      </c>
      <c r="O2533" s="287">
        <f t="shared" si="740"/>
        <v>0</v>
      </c>
      <c r="P2533" s="287">
        <f t="shared" si="741"/>
        <v>0</v>
      </c>
      <c r="Q2533" s="288"/>
      <c r="R2533" s="243" t="str">
        <f>IF(P2530&gt;0,"xy","")</f>
        <v/>
      </c>
      <c r="S2533" s="378" t="str">
        <f t="shared" si="749"/>
        <v/>
      </c>
    </row>
    <row r="2534" spans="2:19" hidden="1" x14ac:dyDescent="0.2">
      <c r="B2534" s="708" t="s">
        <v>168</v>
      </c>
      <c r="C2534" s="596"/>
      <c r="D2534" s="417" t="s">
        <v>402</v>
      </c>
      <c r="E2534" s="704"/>
      <c r="F2534" s="661">
        <v>30</v>
      </c>
      <c r="G2534" s="665">
        <f>VLOOKUP(D2530,'ENSAIOS DE ORÇAMENTO'!$C$3:$L$79,3,FALSE)</f>
        <v>0</v>
      </c>
      <c r="H2534" s="663">
        <f>IF(F2534&lt;=30,(1.05*F2534+2.18)*G2534,((1.05*30+2.18)+0.87*(F2534-30))*G2534)</f>
        <v>0</v>
      </c>
      <c r="I2534" s="380"/>
      <c r="J2534" s="631" t="str">
        <f t="shared" si="766"/>
        <v/>
      </c>
      <c r="K2534" s="593">
        <f t="shared" si="752"/>
        <v>0</v>
      </c>
      <c r="L2534" s="651"/>
      <c r="M2534" s="418"/>
      <c r="N2534" s="419">
        <v>0</v>
      </c>
      <c r="O2534" s="287">
        <f t="shared" si="740"/>
        <v>0</v>
      </c>
      <c r="P2534" s="287">
        <f t="shared" si="741"/>
        <v>0</v>
      </c>
      <c r="Q2534" s="288"/>
      <c r="R2534" s="311" t="str">
        <f>IF(P2530&gt;0,"xy","")</f>
        <v/>
      </c>
      <c r="S2534" s="378" t="str">
        <f t="shared" si="749"/>
        <v/>
      </c>
    </row>
    <row r="2535" spans="2:19" hidden="1" x14ac:dyDescent="0.2">
      <c r="B2535" s="708" t="s">
        <v>168</v>
      </c>
      <c r="C2535" s="596"/>
      <c r="D2535" s="417" t="s">
        <v>403</v>
      </c>
      <c r="E2535" s="704"/>
      <c r="F2535" s="661">
        <v>500</v>
      </c>
      <c r="G2535" s="665">
        <f>VLOOKUP(D2530,'ENSAIOS DE ORÇAMENTO'!$C$3:$L$79,10,FALSE)</f>
        <v>0</v>
      </c>
      <c r="H2535" s="663">
        <f>IF(F2535&lt;=30,(1.05*F2535+2.18)*G2535,((1.05*30+2.18)+0.87*(F2535-30))*G2535)</f>
        <v>0</v>
      </c>
      <c r="I2535" s="380"/>
      <c r="J2535" s="631" t="str">
        <f t="shared" si="766"/>
        <v/>
      </c>
      <c r="K2535" s="593">
        <f t="shared" si="752"/>
        <v>0</v>
      </c>
      <c r="L2535" s="651"/>
      <c r="M2535" s="418"/>
      <c r="N2535" s="419">
        <v>0</v>
      </c>
      <c r="O2535" s="287">
        <f t="shared" ref="O2535:O2577" si="768">IF(ISBLANK(M2535),0,ROUND(K2535*M2535,2))</f>
        <v>0</v>
      </c>
      <c r="P2535" s="287">
        <f t="shared" ref="P2535:P2577" si="769">IF(ISBLANK(N2535),0,ROUND(M2535*N2535,2))</f>
        <v>0</v>
      </c>
      <c r="Q2535" s="288"/>
      <c r="R2535" s="311" t="str">
        <f>IF(P2530&gt;0,"xy","")</f>
        <v/>
      </c>
      <c r="S2535" s="378" t="str">
        <f t="shared" si="749"/>
        <v/>
      </c>
    </row>
    <row r="2536" spans="2:19" hidden="1" x14ac:dyDescent="0.2">
      <c r="B2536" s="708" t="s">
        <v>433</v>
      </c>
      <c r="C2536" s="596" t="s">
        <v>207</v>
      </c>
      <c r="D2536" s="383" t="str">
        <f>'ENSAIOS DE ORÇAMENTO'!C73</f>
        <v>ENSAIO DE ORÇAMENTO 4</v>
      </c>
      <c r="E2536" s="704"/>
      <c r="F2536" s="661"/>
      <c r="G2536" s="665"/>
      <c r="H2536" s="664">
        <f>SUM(H2537:H2541)</f>
        <v>0</v>
      </c>
      <c r="I2536" s="380">
        <f>VLOOKUP(D2536,'ENSAIOS DE ORÇAMENTO'!$C$3:$L$79,8,FALSE)</f>
        <v>0</v>
      </c>
      <c r="J2536" s="631">
        <f t="shared" ref="J2536" si="770">IF(ISBLANK(I2536),"",SUM(H2536:I2536))</f>
        <v>0</v>
      </c>
      <c r="K2536" s="593">
        <f t="shared" si="752"/>
        <v>0</v>
      </c>
      <c r="L2536" s="594"/>
      <c r="M2536" s="30"/>
      <c r="N2536" s="30">
        <v>0</v>
      </c>
      <c r="O2536" s="287">
        <f t="shared" si="768"/>
        <v>0</v>
      </c>
      <c r="P2536" s="287">
        <f t="shared" si="769"/>
        <v>0</v>
      </c>
      <c r="Q2536" s="288"/>
      <c r="S2536" s="378" t="str">
        <f t="shared" si="749"/>
        <v/>
      </c>
    </row>
    <row r="2537" spans="2:19" hidden="1" x14ac:dyDescent="0.2">
      <c r="B2537" s="708" t="s">
        <v>168</v>
      </c>
      <c r="C2537" s="596"/>
      <c r="D2537" s="417" t="s">
        <v>213</v>
      </c>
      <c r="E2537" s="704"/>
      <c r="F2537" s="661">
        <v>500</v>
      </c>
      <c r="G2537" s="665">
        <f>VLOOKUP(D2536,'ENSAIOS DE ORÇAMENTO'!$C$3:$L$79,4,FALSE)</f>
        <v>0</v>
      </c>
      <c r="H2537" s="664">
        <f>IF(F2537&lt;=30,(0.75*F2537+6.29)*G2537,((0.75*30+6.29)+0.62*(F2537-30))*G2537)</f>
        <v>0</v>
      </c>
      <c r="I2537" s="380"/>
      <c r="J2537" s="631" t="str">
        <f t="shared" ref="J2537:J2576" si="771">IF(ISBLANK(I2537),"",SUM(H2537:I2537))</f>
        <v/>
      </c>
      <c r="K2537" s="593">
        <f t="shared" si="752"/>
        <v>0</v>
      </c>
      <c r="L2537" s="651"/>
      <c r="M2537" s="418"/>
      <c r="N2537" s="419">
        <v>0</v>
      </c>
      <c r="O2537" s="287">
        <f t="shared" si="768"/>
        <v>0</v>
      </c>
      <c r="P2537" s="287">
        <f t="shared" si="769"/>
        <v>0</v>
      </c>
      <c r="Q2537" s="288"/>
      <c r="R2537" s="311" t="str">
        <f>IF(P2536&gt;0,"xy","")</f>
        <v/>
      </c>
      <c r="S2537" s="378" t="str">
        <f t="shared" si="749"/>
        <v/>
      </c>
    </row>
    <row r="2538" spans="2:19" hidden="1" x14ac:dyDescent="0.2">
      <c r="B2538" s="708" t="s">
        <v>168</v>
      </c>
      <c r="C2538" s="596"/>
      <c r="D2538" s="417" t="s">
        <v>249</v>
      </c>
      <c r="E2538" s="704"/>
      <c r="F2538" s="661">
        <v>180</v>
      </c>
      <c r="G2538" s="665">
        <f>VLOOKUP(D2536,'ENSAIOS DE ORÇAMENTO'!$C$3:$L$79,5,FALSE)</f>
        <v>0</v>
      </c>
      <c r="H2538" s="663">
        <f t="shared" ref="H2538" si="772">IF(F2538&lt;=30,(1.05*F2538+2.18)*G2538,((1.05*30+2.18)+0.87*(F2538-30))*G2538)</f>
        <v>0</v>
      </c>
      <c r="I2538" s="380"/>
      <c r="J2538" s="631" t="str">
        <f t="shared" si="771"/>
        <v/>
      </c>
      <c r="K2538" s="593">
        <f t="shared" si="752"/>
        <v>0</v>
      </c>
      <c r="L2538" s="651"/>
      <c r="M2538" s="418"/>
      <c r="N2538" s="419">
        <v>0</v>
      </c>
      <c r="O2538" s="287">
        <f t="shared" si="768"/>
        <v>0</v>
      </c>
      <c r="P2538" s="287">
        <f t="shared" si="769"/>
        <v>0</v>
      </c>
      <c r="Q2538" s="288"/>
      <c r="R2538" s="311" t="str">
        <f>IF(P2536&gt;0,"xy","")</f>
        <v/>
      </c>
      <c r="S2538" s="378" t="str">
        <f t="shared" si="749"/>
        <v/>
      </c>
    </row>
    <row r="2539" spans="2:19" hidden="1" x14ac:dyDescent="0.2">
      <c r="B2539" s="708" t="s">
        <v>168</v>
      </c>
      <c r="C2539" s="596"/>
      <c r="D2539" s="417" t="s">
        <v>253</v>
      </c>
      <c r="E2539" s="704"/>
      <c r="F2539" s="661">
        <v>20</v>
      </c>
      <c r="G2539" s="665">
        <f>VLOOKUP(D2536,'ENSAIOS DE ORÇAMENTO'!$C$3:$L$79,6,FALSE)</f>
        <v>0</v>
      </c>
      <c r="H2539" s="663">
        <f>IF(F2539&lt;=30,(1.05*F2539+2.18)*G2539,((1.05*30+2.18)+0.87*(F2539-30))*G2539)</f>
        <v>0</v>
      </c>
      <c r="I2539" s="380"/>
      <c r="J2539" s="631" t="str">
        <f t="shared" si="771"/>
        <v/>
      </c>
      <c r="K2539" s="593">
        <f t="shared" si="752"/>
        <v>0</v>
      </c>
      <c r="L2539" s="651"/>
      <c r="M2539" s="418"/>
      <c r="N2539" s="419">
        <v>0</v>
      </c>
      <c r="O2539" s="287">
        <f t="shared" si="768"/>
        <v>0</v>
      </c>
      <c r="P2539" s="287">
        <f t="shared" si="769"/>
        <v>0</v>
      </c>
      <c r="Q2539" s="288"/>
      <c r="R2539" s="243" t="str">
        <f>IF(P2536&gt;0,"xy","")</f>
        <v/>
      </c>
      <c r="S2539" s="378" t="str">
        <f t="shared" si="749"/>
        <v/>
      </c>
    </row>
    <row r="2540" spans="2:19" hidden="1" x14ac:dyDescent="0.2">
      <c r="B2540" s="708" t="s">
        <v>168</v>
      </c>
      <c r="C2540" s="596"/>
      <c r="D2540" s="417" t="s">
        <v>402</v>
      </c>
      <c r="E2540" s="704"/>
      <c r="F2540" s="661">
        <v>30</v>
      </c>
      <c r="G2540" s="665">
        <f>VLOOKUP(D2536,'ENSAIOS DE ORÇAMENTO'!$C$3:$L$79,3,FALSE)</f>
        <v>0</v>
      </c>
      <c r="H2540" s="663">
        <f>IF(F2540&lt;=30,(1.05*F2540+2.18)*G2540,((1.05*30+2.18)+0.87*(F2540-30))*G2540)</f>
        <v>0</v>
      </c>
      <c r="I2540" s="380"/>
      <c r="J2540" s="631" t="str">
        <f t="shared" si="771"/>
        <v/>
      </c>
      <c r="K2540" s="593">
        <f t="shared" si="752"/>
        <v>0</v>
      </c>
      <c r="L2540" s="651"/>
      <c r="M2540" s="418"/>
      <c r="N2540" s="419">
        <v>0</v>
      </c>
      <c r="O2540" s="287">
        <f t="shared" si="768"/>
        <v>0</v>
      </c>
      <c r="P2540" s="287">
        <f t="shared" si="769"/>
        <v>0</v>
      </c>
      <c r="Q2540" s="288"/>
      <c r="R2540" s="311" t="str">
        <f>IF(P2536&gt;0,"xy","")</f>
        <v/>
      </c>
      <c r="S2540" s="378" t="str">
        <f t="shared" si="749"/>
        <v/>
      </c>
    </row>
    <row r="2541" spans="2:19" hidden="1" x14ac:dyDescent="0.2">
      <c r="B2541" s="708" t="s">
        <v>168</v>
      </c>
      <c r="C2541" s="596"/>
      <c r="D2541" s="417" t="s">
        <v>403</v>
      </c>
      <c r="E2541" s="704"/>
      <c r="F2541" s="661">
        <v>500</v>
      </c>
      <c r="G2541" s="665">
        <f>VLOOKUP(D2536,'ENSAIOS DE ORÇAMENTO'!$C$3:$L$79,10,FALSE)</f>
        <v>0</v>
      </c>
      <c r="H2541" s="663">
        <f>IF(F2541&lt;=30,(1.05*F2541+2.18)*G2541,((1.05*30+2.18)+0.87*(F2541-30))*G2541)</f>
        <v>0</v>
      </c>
      <c r="I2541" s="380"/>
      <c r="J2541" s="631" t="str">
        <f t="shared" si="771"/>
        <v/>
      </c>
      <c r="K2541" s="593">
        <f t="shared" si="752"/>
        <v>0</v>
      </c>
      <c r="L2541" s="651"/>
      <c r="M2541" s="418"/>
      <c r="N2541" s="419">
        <v>0</v>
      </c>
      <c r="O2541" s="287">
        <f t="shared" si="768"/>
        <v>0</v>
      </c>
      <c r="P2541" s="287">
        <f t="shared" si="769"/>
        <v>0</v>
      </c>
      <c r="Q2541" s="288"/>
      <c r="R2541" s="311" t="str">
        <f>IF(P2536&gt;0,"xy","")</f>
        <v/>
      </c>
      <c r="S2541" s="378" t="str">
        <f t="shared" si="749"/>
        <v/>
      </c>
    </row>
    <row r="2542" spans="2:19" hidden="1" x14ac:dyDescent="0.2">
      <c r="B2542" s="708" t="s">
        <v>434</v>
      </c>
      <c r="C2542" s="596" t="s">
        <v>207</v>
      </c>
      <c r="D2542" s="383" t="str">
        <f>'ENSAIOS DE ORÇAMENTO'!C74</f>
        <v>ENSAIO DE ORÇAMENTO 5</v>
      </c>
      <c r="E2542" s="704"/>
      <c r="F2542" s="661"/>
      <c r="G2542" s="665"/>
      <c r="H2542" s="664">
        <f>SUM(H2543:H2547)</f>
        <v>0</v>
      </c>
      <c r="I2542" s="380">
        <f>VLOOKUP(D2542,'ENSAIOS DE ORÇAMENTO'!$C$3:$L$79,8,FALSE)</f>
        <v>0</v>
      </c>
      <c r="J2542" s="631">
        <f t="shared" si="771"/>
        <v>0</v>
      </c>
      <c r="K2542" s="593">
        <f t="shared" si="752"/>
        <v>0</v>
      </c>
      <c r="L2542" s="594"/>
      <c r="M2542" s="30"/>
      <c r="N2542" s="30">
        <v>0</v>
      </c>
      <c r="O2542" s="287">
        <f t="shared" si="768"/>
        <v>0</v>
      </c>
      <c r="P2542" s="287">
        <f t="shared" si="769"/>
        <v>0</v>
      </c>
      <c r="Q2542" s="288"/>
      <c r="S2542" s="378" t="str">
        <f t="shared" si="749"/>
        <v/>
      </c>
    </row>
    <row r="2543" spans="2:19" hidden="1" x14ac:dyDescent="0.2">
      <c r="B2543" s="708" t="s">
        <v>168</v>
      </c>
      <c r="C2543" s="596"/>
      <c r="D2543" s="417" t="s">
        <v>213</v>
      </c>
      <c r="E2543" s="704"/>
      <c r="F2543" s="661">
        <v>500</v>
      </c>
      <c r="G2543" s="665">
        <f>VLOOKUP(D2542,'ENSAIOS DE ORÇAMENTO'!$C$3:$L$79,4,FALSE)</f>
        <v>0</v>
      </c>
      <c r="H2543" s="664">
        <f>IF(F2543&lt;=30,(0.75*F2543+6.29)*G2543,((0.75*30+6.29)+0.62*(F2543-30))*G2543)</f>
        <v>0</v>
      </c>
      <c r="I2543" s="380"/>
      <c r="J2543" s="631" t="str">
        <f t="shared" si="771"/>
        <v/>
      </c>
      <c r="K2543" s="593">
        <f t="shared" si="752"/>
        <v>0</v>
      </c>
      <c r="L2543" s="651"/>
      <c r="M2543" s="418"/>
      <c r="N2543" s="419">
        <v>0</v>
      </c>
      <c r="O2543" s="287">
        <f t="shared" si="768"/>
        <v>0</v>
      </c>
      <c r="P2543" s="287">
        <f t="shared" si="769"/>
        <v>0</v>
      </c>
      <c r="Q2543" s="288"/>
      <c r="R2543" s="311" t="str">
        <f>IF(P2542&gt;0,"xy","")</f>
        <v/>
      </c>
      <c r="S2543" s="378" t="str">
        <f t="shared" si="749"/>
        <v/>
      </c>
    </row>
    <row r="2544" spans="2:19" hidden="1" x14ac:dyDescent="0.2">
      <c r="B2544" s="708" t="s">
        <v>168</v>
      </c>
      <c r="C2544" s="596"/>
      <c r="D2544" s="417" t="s">
        <v>249</v>
      </c>
      <c r="E2544" s="704"/>
      <c r="F2544" s="661">
        <v>180</v>
      </c>
      <c r="G2544" s="665">
        <f>VLOOKUP(D2542,'ENSAIOS DE ORÇAMENTO'!$C$3:$L$79,5,FALSE)</f>
        <v>0</v>
      </c>
      <c r="H2544" s="663">
        <f t="shared" ref="H2544" si="773">IF(F2544&lt;=30,(1.05*F2544+2.18)*G2544,((1.05*30+2.18)+0.87*(F2544-30))*G2544)</f>
        <v>0</v>
      </c>
      <c r="I2544" s="380"/>
      <c r="J2544" s="631" t="str">
        <f t="shared" si="771"/>
        <v/>
      </c>
      <c r="K2544" s="593">
        <f t="shared" si="752"/>
        <v>0</v>
      </c>
      <c r="L2544" s="651"/>
      <c r="M2544" s="418"/>
      <c r="N2544" s="419">
        <v>0</v>
      </c>
      <c r="O2544" s="287">
        <f t="shared" si="768"/>
        <v>0</v>
      </c>
      <c r="P2544" s="287">
        <f t="shared" si="769"/>
        <v>0</v>
      </c>
      <c r="Q2544" s="288"/>
      <c r="R2544" s="311" t="str">
        <f>IF(P2542&gt;0,"xy","")</f>
        <v/>
      </c>
      <c r="S2544" s="378" t="str">
        <f t="shared" si="749"/>
        <v/>
      </c>
    </row>
    <row r="2545" spans="2:19" hidden="1" x14ac:dyDescent="0.2">
      <c r="B2545" s="708" t="s">
        <v>168</v>
      </c>
      <c r="C2545" s="596"/>
      <c r="D2545" s="417" t="s">
        <v>253</v>
      </c>
      <c r="E2545" s="704"/>
      <c r="F2545" s="661">
        <v>20</v>
      </c>
      <c r="G2545" s="665">
        <f>VLOOKUP(D2542,'ENSAIOS DE ORÇAMENTO'!$C$3:$L$79,6,FALSE)</f>
        <v>0</v>
      </c>
      <c r="H2545" s="663">
        <f>IF(F2545&lt;=30,(1.05*F2545+2.18)*G2545,((1.05*30+2.18)+0.87*(F2545-30))*G2545)</f>
        <v>0</v>
      </c>
      <c r="I2545" s="380"/>
      <c r="J2545" s="631" t="str">
        <f t="shared" si="771"/>
        <v/>
      </c>
      <c r="K2545" s="593">
        <f t="shared" si="752"/>
        <v>0</v>
      </c>
      <c r="L2545" s="651"/>
      <c r="M2545" s="418"/>
      <c r="N2545" s="419">
        <v>0</v>
      </c>
      <c r="O2545" s="287">
        <f t="shared" si="768"/>
        <v>0</v>
      </c>
      <c r="P2545" s="287">
        <f t="shared" si="769"/>
        <v>0</v>
      </c>
      <c r="Q2545" s="288"/>
      <c r="R2545" s="243" t="str">
        <f>IF(P2542&gt;0,"xy","")</f>
        <v/>
      </c>
      <c r="S2545" s="378" t="str">
        <f t="shared" si="749"/>
        <v/>
      </c>
    </row>
    <row r="2546" spans="2:19" hidden="1" x14ac:dyDescent="0.2">
      <c r="B2546" s="708" t="s">
        <v>168</v>
      </c>
      <c r="C2546" s="596"/>
      <c r="D2546" s="417" t="s">
        <v>402</v>
      </c>
      <c r="E2546" s="704"/>
      <c r="F2546" s="661">
        <v>30</v>
      </c>
      <c r="G2546" s="665">
        <f>VLOOKUP(D2542,'ENSAIOS DE ORÇAMENTO'!$C$3:$L$79,3,FALSE)</f>
        <v>0</v>
      </c>
      <c r="H2546" s="663">
        <f>IF(F2546&lt;=30,(1.05*F2546+2.18)*G2546,((1.05*30+2.18)+0.87*(F2546-30))*G2546)</f>
        <v>0</v>
      </c>
      <c r="I2546" s="380"/>
      <c r="J2546" s="631" t="str">
        <f t="shared" si="771"/>
        <v/>
      </c>
      <c r="K2546" s="593">
        <f t="shared" si="752"/>
        <v>0</v>
      </c>
      <c r="L2546" s="594"/>
      <c r="M2546" s="418"/>
      <c r="N2546" s="419">
        <v>0</v>
      </c>
      <c r="O2546" s="287">
        <f t="shared" si="768"/>
        <v>0</v>
      </c>
      <c r="P2546" s="287">
        <f t="shared" si="769"/>
        <v>0</v>
      </c>
      <c r="Q2546" s="288"/>
      <c r="R2546" s="311" t="str">
        <f>IF(P2542&gt;0,"xy","")</f>
        <v/>
      </c>
      <c r="S2546" s="378" t="str">
        <f t="shared" si="749"/>
        <v/>
      </c>
    </row>
    <row r="2547" spans="2:19" hidden="1" x14ac:dyDescent="0.2">
      <c r="B2547" s="708" t="s">
        <v>168</v>
      </c>
      <c r="C2547" s="596"/>
      <c r="D2547" s="417" t="s">
        <v>403</v>
      </c>
      <c r="E2547" s="704"/>
      <c r="F2547" s="661">
        <v>500</v>
      </c>
      <c r="G2547" s="665">
        <f>VLOOKUP(D2542,'ENSAIOS DE ORÇAMENTO'!$C$3:$L$79,10,FALSE)</f>
        <v>0</v>
      </c>
      <c r="H2547" s="663">
        <f>IF(F2547&lt;=30,(1.05*F2547+2.18)*G2547,((1.05*30+2.18)+0.87*(F2547-30))*G2547)</f>
        <v>0</v>
      </c>
      <c r="I2547" s="380"/>
      <c r="J2547" s="631" t="str">
        <f t="shared" si="771"/>
        <v/>
      </c>
      <c r="K2547" s="593">
        <f t="shared" si="752"/>
        <v>0</v>
      </c>
      <c r="L2547" s="651"/>
      <c r="M2547" s="418"/>
      <c r="N2547" s="419">
        <v>0</v>
      </c>
      <c r="O2547" s="287">
        <f t="shared" si="768"/>
        <v>0</v>
      </c>
      <c r="P2547" s="287">
        <f t="shared" si="769"/>
        <v>0</v>
      </c>
      <c r="Q2547" s="288"/>
      <c r="R2547" s="311" t="str">
        <f>IF(P2542&gt;0,"xy","")</f>
        <v/>
      </c>
      <c r="S2547" s="378" t="str">
        <f t="shared" si="749"/>
        <v/>
      </c>
    </row>
    <row r="2548" spans="2:19" hidden="1" x14ac:dyDescent="0.2">
      <c r="B2548" s="708" t="s">
        <v>435</v>
      </c>
      <c r="C2548" s="596" t="s">
        <v>207</v>
      </c>
      <c r="D2548" s="383" t="str">
        <f>'ENSAIOS DE ORÇAMENTO'!C75</f>
        <v>ENSAIO DE ORÇAMENTO 6</v>
      </c>
      <c r="E2548" s="704"/>
      <c r="F2548" s="661"/>
      <c r="G2548" s="665"/>
      <c r="H2548" s="664">
        <f>SUM(H2549:H2553)</f>
        <v>0</v>
      </c>
      <c r="I2548" s="380">
        <f>VLOOKUP(D2548,'ENSAIOS DE ORÇAMENTO'!$C$3:$L$79,8,FALSE)</f>
        <v>0</v>
      </c>
      <c r="J2548" s="631">
        <f t="shared" si="771"/>
        <v>0</v>
      </c>
      <c r="K2548" s="593">
        <f t="shared" si="752"/>
        <v>0</v>
      </c>
      <c r="L2548" s="594"/>
      <c r="M2548" s="30"/>
      <c r="N2548" s="30">
        <v>0</v>
      </c>
      <c r="O2548" s="287">
        <f t="shared" si="768"/>
        <v>0</v>
      </c>
      <c r="P2548" s="287">
        <f t="shared" si="769"/>
        <v>0</v>
      </c>
      <c r="Q2548" s="288"/>
      <c r="S2548" s="378" t="str">
        <f t="shared" si="749"/>
        <v/>
      </c>
    </row>
    <row r="2549" spans="2:19" hidden="1" x14ac:dyDescent="0.2">
      <c r="B2549" s="708" t="s">
        <v>168</v>
      </c>
      <c r="C2549" s="596"/>
      <c r="D2549" s="417" t="s">
        <v>213</v>
      </c>
      <c r="E2549" s="704"/>
      <c r="F2549" s="661">
        <v>500</v>
      </c>
      <c r="G2549" s="665">
        <f>VLOOKUP(D2548,'ENSAIOS DE ORÇAMENTO'!$C$3:$L$79,4,FALSE)</f>
        <v>0</v>
      </c>
      <c r="H2549" s="664">
        <f>IF(F2549&lt;=30,(0.75*F2549+6.29)*G2549,((0.75*30+6.29)+0.62*(F2549-30))*G2549)</f>
        <v>0</v>
      </c>
      <c r="I2549" s="380"/>
      <c r="J2549" s="631" t="str">
        <f t="shared" si="771"/>
        <v/>
      </c>
      <c r="K2549" s="593">
        <f t="shared" si="752"/>
        <v>0</v>
      </c>
      <c r="L2549" s="651"/>
      <c r="M2549" s="418"/>
      <c r="N2549" s="419">
        <v>0</v>
      </c>
      <c r="O2549" s="287">
        <f t="shared" si="768"/>
        <v>0</v>
      </c>
      <c r="P2549" s="287">
        <f t="shared" si="769"/>
        <v>0</v>
      </c>
      <c r="Q2549" s="288"/>
      <c r="R2549" s="311" t="str">
        <f>IF(P2548&gt;0,"xy","")</f>
        <v/>
      </c>
      <c r="S2549" s="378" t="str">
        <f t="shared" si="749"/>
        <v/>
      </c>
    </row>
    <row r="2550" spans="2:19" hidden="1" x14ac:dyDescent="0.2">
      <c r="B2550" s="708" t="s">
        <v>168</v>
      </c>
      <c r="C2550" s="596"/>
      <c r="D2550" s="417" t="s">
        <v>249</v>
      </c>
      <c r="E2550" s="704"/>
      <c r="F2550" s="661">
        <v>180</v>
      </c>
      <c r="G2550" s="665">
        <f>VLOOKUP(D2548,'ENSAIOS DE ORÇAMENTO'!$C$3:$L$79,5,FALSE)</f>
        <v>0</v>
      </c>
      <c r="H2550" s="663">
        <f t="shared" ref="H2550" si="774">IF(F2550&lt;=30,(1.05*F2550+2.18)*G2550,((1.05*30+2.18)+0.87*(F2550-30))*G2550)</f>
        <v>0</v>
      </c>
      <c r="I2550" s="380"/>
      <c r="J2550" s="631" t="str">
        <f t="shared" si="771"/>
        <v/>
      </c>
      <c r="K2550" s="593">
        <f t="shared" si="752"/>
        <v>0</v>
      </c>
      <c r="L2550" s="651"/>
      <c r="M2550" s="418"/>
      <c r="N2550" s="419">
        <v>0</v>
      </c>
      <c r="O2550" s="287">
        <f t="shared" si="768"/>
        <v>0</v>
      </c>
      <c r="P2550" s="287">
        <f t="shared" si="769"/>
        <v>0</v>
      </c>
      <c r="Q2550" s="288"/>
      <c r="R2550" s="311" t="str">
        <f>IF(P2548&gt;0,"xy","")</f>
        <v/>
      </c>
      <c r="S2550" s="378" t="str">
        <f t="shared" si="749"/>
        <v/>
      </c>
    </row>
    <row r="2551" spans="2:19" hidden="1" x14ac:dyDescent="0.2">
      <c r="B2551" s="708" t="s">
        <v>168</v>
      </c>
      <c r="C2551" s="596"/>
      <c r="D2551" s="417" t="s">
        <v>253</v>
      </c>
      <c r="E2551" s="704"/>
      <c r="F2551" s="661">
        <v>20</v>
      </c>
      <c r="G2551" s="665">
        <f>VLOOKUP(D2548,'ENSAIOS DE ORÇAMENTO'!$C$3:$L$79,6,FALSE)</f>
        <v>0</v>
      </c>
      <c r="H2551" s="663">
        <f>IF(F2551&lt;=30,(1.05*F2551+2.18)*G2551,((1.05*30+2.18)+0.87*(F2551-30))*G2551)</f>
        <v>0</v>
      </c>
      <c r="I2551" s="380"/>
      <c r="J2551" s="631" t="str">
        <f t="shared" si="771"/>
        <v/>
      </c>
      <c r="K2551" s="593">
        <f t="shared" si="752"/>
        <v>0</v>
      </c>
      <c r="L2551" s="651"/>
      <c r="M2551" s="418"/>
      <c r="N2551" s="419">
        <v>0</v>
      </c>
      <c r="O2551" s="287">
        <f t="shared" si="768"/>
        <v>0</v>
      </c>
      <c r="P2551" s="287">
        <f t="shared" si="769"/>
        <v>0</v>
      </c>
      <c r="Q2551" s="288"/>
      <c r="R2551" s="243" t="str">
        <f>IF(P2548&gt;0,"xy","")</f>
        <v/>
      </c>
      <c r="S2551" s="378" t="str">
        <f t="shared" si="749"/>
        <v/>
      </c>
    </row>
    <row r="2552" spans="2:19" hidden="1" x14ac:dyDescent="0.2">
      <c r="B2552" s="708" t="s">
        <v>168</v>
      </c>
      <c r="C2552" s="596"/>
      <c r="D2552" s="417" t="s">
        <v>402</v>
      </c>
      <c r="E2552" s="704"/>
      <c r="F2552" s="661">
        <v>30</v>
      </c>
      <c r="G2552" s="665">
        <f>VLOOKUP(D2548,'ENSAIOS DE ORÇAMENTO'!$C$3:$L$79,3,FALSE)</f>
        <v>0</v>
      </c>
      <c r="H2552" s="663">
        <f>IF(F2552&lt;=30,(1.05*F2552+2.18)*G2552,((1.05*30+2.18)+0.87*(F2552-30))*G2552)</f>
        <v>0</v>
      </c>
      <c r="I2552" s="380"/>
      <c r="J2552" s="631" t="str">
        <f t="shared" si="771"/>
        <v/>
      </c>
      <c r="K2552" s="593">
        <f t="shared" si="752"/>
        <v>0</v>
      </c>
      <c r="L2552" s="651"/>
      <c r="M2552" s="418"/>
      <c r="N2552" s="419">
        <v>0</v>
      </c>
      <c r="O2552" s="287">
        <f t="shared" si="768"/>
        <v>0</v>
      </c>
      <c r="P2552" s="287">
        <f t="shared" si="769"/>
        <v>0</v>
      </c>
      <c r="Q2552" s="288"/>
      <c r="R2552" s="311" t="str">
        <f>IF(P2548&gt;0,"xy","")</f>
        <v/>
      </c>
      <c r="S2552" s="378" t="str">
        <f t="shared" si="749"/>
        <v/>
      </c>
    </row>
    <row r="2553" spans="2:19" hidden="1" x14ac:dyDescent="0.2">
      <c r="B2553" s="708" t="s">
        <v>168</v>
      </c>
      <c r="C2553" s="596"/>
      <c r="D2553" s="417" t="s">
        <v>403</v>
      </c>
      <c r="E2553" s="704"/>
      <c r="F2553" s="661">
        <v>500</v>
      </c>
      <c r="G2553" s="665">
        <f>VLOOKUP(D2548,'ENSAIOS DE ORÇAMENTO'!$C$3:$L$79,10,FALSE)</f>
        <v>0</v>
      </c>
      <c r="H2553" s="663">
        <f>IF(F2553&lt;=30,(1.05*F2553+2.18)*G2553,((1.05*30+2.18)+0.87*(F2553-30))*G2553)</f>
        <v>0</v>
      </c>
      <c r="I2553" s="380"/>
      <c r="J2553" s="631" t="str">
        <f t="shared" si="771"/>
        <v/>
      </c>
      <c r="K2553" s="593">
        <f t="shared" si="752"/>
        <v>0</v>
      </c>
      <c r="L2553" s="651"/>
      <c r="M2553" s="418"/>
      <c r="N2553" s="419">
        <v>0</v>
      </c>
      <c r="O2553" s="287">
        <f t="shared" si="768"/>
        <v>0</v>
      </c>
      <c r="P2553" s="287">
        <f t="shared" si="769"/>
        <v>0</v>
      </c>
      <c r="Q2553" s="288"/>
      <c r="R2553" s="311" t="str">
        <f>IF(P2548&gt;0,"xy","")</f>
        <v/>
      </c>
      <c r="S2553" s="378" t="str">
        <f t="shared" si="749"/>
        <v/>
      </c>
    </row>
    <row r="2554" spans="2:19" hidden="1" x14ac:dyDescent="0.2">
      <c r="B2554" s="708" t="s">
        <v>436</v>
      </c>
      <c r="C2554" s="596" t="s">
        <v>207</v>
      </c>
      <c r="D2554" s="383" t="str">
        <f>'ENSAIOS DE ORÇAMENTO'!C76</f>
        <v>ENSAIO DE ORÇAMENTO 7</v>
      </c>
      <c r="E2554" s="704"/>
      <c r="F2554" s="661"/>
      <c r="G2554" s="665"/>
      <c r="H2554" s="664">
        <f>SUM(H2555:H2559)</f>
        <v>0</v>
      </c>
      <c r="I2554" s="380">
        <f>VLOOKUP(D2554,'ENSAIOS DE ORÇAMENTO'!$C$3:$L$79,8,FALSE)</f>
        <v>0</v>
      </c>
      <c r="J2554" s="631">
        <f t="shared" si="771"/>
        <v>0</v>
      </c>
      <c r="K2554" s="593">
        <f t="shared" si="752"/>
        <v>0</v>
      </c>
      <c r="L2554" s="594"/>
      <c r="M2554" s="30"/>
      <c r="N2554" s="30">
        <v>0</v>
      </c>
      <c r="O2554" s="287">
        <f t="shared" si="768"/>
        <v>0</v>
      </c>
      <c r="P2554" s="287">
        <f t="shared" si="769"/>
        <v>0</v>
      </c>
      <c r="Q2554" s="288"/>
      <c r="S2554" s="378" t="str">
        <f t="shared" si="749"/>
        <v/>
      </c>
    </row>
    <row r="2555" spans="2:19" hidden="1" x14ac:dyDescent="0.2">
      <c r="B2555" s="708" t="s">
        <v>168</v>
      </c>
      <c r="C2555" s="596"/>
      <c r="D2555" s="417" t="s">
        <v>213</v>
      </c>
      <c r="E2555" s="704"/>
      <c r="F2555" s="661">
        <v>500</v>
      </c>
      <c r="G2555" s="665">
        <f>VLOOKUP(D2554,'ENSAIOS DE ORÇAMENTO'!$C$3:$L$79,4,FALSE)</f>
        <v>0</v>
      </c>
      <c r="H2555" s="664">
        <f>IF(F2555&lt;=30,(0.75*F2555+6.29)*G2555,((0.75*30+6.29)+0.62*(F2555-30))*G2555)</f>
        <v>0</v>
      </c>
      <c r="I2555" s="380"/>
      <c r="J2555" s="631" t="str">
        <f t="shared" si="771"/>
        <v/>
      </c>
      <c r="K2555" s="593">
        <f t="shared" si="752"/>
        <v>0</v>
      </c>
      <c r="L2555" s="651"/>
      <c r="M2555" s="418"/>
      <c r="N2555" s="419">
        <v>0</v>
      </c>
      <c r="O2555" s="287">
        <f t="shared" si="768"/>
        <v>0</v>
      </c>
      <c r="P2555" s="287">
        <f t="shared" si="769"/>
        <v>0</v>
      </c>
      <c r="Q2555" s="288"/>
      <c r="R2555" s="311" t="str">
        <f>IF(P2554&gt;0,"xy","")</f>
        <v/>
      </c>
      <c r="S2555" s="378" t="str">
        <f t="shared" si="749"/>
        <v/>
      </c>
    </row>
    <row r="2556" spans="2:19" hidden="1" x14ac:dyDescent="0.2">
      <c r="B2556" s="708" t="s">
        <v>168</v>
      </c>
      <c r="C2556" s="596"/>
      <c r="D2556" s="417" t="s">
        <v>249</v>
      </c>
      <c r="E2556" s="704"/>
      <c r="F2556" s="661">
        <v>180</v>
      </c>
      <c r="G2556" s="665">
        <f>VLOOKUP(D2554,'ENSAIOS DE ORÇAMENTO'!$C$3:$L$79,5,FALSE)</f>
        <v>0</v>
      </c>
      <c r="H2556" s="663">
        <f t="shared" ref="H2556" si="775">IF(F2556&lt;=30,(1.05*F2556+2.18)*G2556,((1.05*30+2.18)+0.87*(F2556-30))*G2556)</f>
        <v>0</v>
      </c>
      <c r="I2556" s="380"/>
      <c r="J2556" s="631" t="str">
        <f t="shared" si="771"/>
        <v/>
      </c>
      <c r="K2556" s="593">
        <f t="shared" si="752"/>
        <v>0</v>
      </c>
      <c r="L2556" s="651"/>
      <c r="M2556" s="418"/>
      <c r="N2556" s="419">
        <v>0</v>
      </c>
      <c r="O2556" s="287">
        <f t="shared" si="768"/>
        <v>0</v>
      </c>
      <c r="P2556" s="287">
        <f t="shared" si="769"/>
        <v>0</v>
      </c>
      <c r="Q2556" s="288"/>
      <c r="R2556" s="311" t="str">
        <f>IF(P2554&gt;0,"xy","")</f>
        <v/>
      </c>
      <c r="S2556" s="378" t="str">
        <f t="shared" si="749"/>
        <v/>
      </c>
    </row>
    <row r="2557" spans="2:19" hidden="1" x14ac:dyDescent="0.2">
      <c r="B2557" s="708" t="s">
        <v>168</v>
      </c>
      <c r="C2557" s="596"/>
      <c r="D2557" s="417" t="s">
        <v>253</v>
      </c>
      <c r="E2557" s="704"/>
      <c r="F2557" s="661">
        <v>20</v>
      </c>
      <c r="G2557" s="665">
        <f>VLOOKUP(D2554,'ENSAIOS DE ORÇAMENTO'!$C$3:$L$79,6,FALSE)</f>
        <v>0</v>
      </c>
      <c r="H2557" s="663">
        <f>IF(F2557&lt;=30,(1.05*F2557+2.18)*G2557,((1.05*30+2.18)+0.87*(F2557-30))*G2557)</f>
        <v>0</v>
      </c>
      <c r="I2557" s="380"/>
      <c r="J2557" s="631" t="str">
        <f t="shared" si="771"/>
        <v/>
      </c>
      <c r="K2557" s="593">
        <f t="shared" si="752"/>
        <v>0</v>
      </c>
      <c r="L2557" s="651"/>
      <c r="M2557" s="418"/>
      <c r="N2557" s="419">
        <v>0</v>
      </c>
      <c r="O2557" s="287">
        <f t="shared" si="768"/>
        <v>0</v>
      </c>
      <c r="P2557" s="287">
        <f t="shared" si="769"/>
        <v>0</v>
      </c>
      <c r="Q2557" s="288"/>
      <c r="R2557" s="243" t="str">
        <f>IF(P2554&gt;0,"xy","")</f>
        <v/>
      </c>
      <c r="S2557" s="378" t="str">
        <f t="shared" ref="S2557:S2620" si="776">IF(R2557="x","x",IF(R2557="y","x",IF(R2557="xy","x",IF(P2557&gt;0,"x",""))))</f>
        <v/>
      </c>
    </row>
    <row r="2558" spans="2:19" hidden="1" x14ac:dyDescent="0.2">
      <c r="B2558" s="708" t="s">
        <v>168</v>
      </c>
      <c r="C2558" s="596"/>
      <c r="D2558" s="417" t="s">
        <v>402</v>
      </c>
      <c r="E2558" s="704"/>
      <c r="F2558" s="661">
        <v>30</v>
      </c>
      <c r="G2558" s="665">
        <f>VLOOKUP(D2554,'ENSAIOS DE ORÇAMENTO'!$C$3:$L$79,3,FALSE)</f>
        <v>0</v>
      </c>
      <c r="H2558" s="663">
        <f>IF(F2558&lt;=30,(1.05*F2558+2.18)*G2558,((1.05*30+2.18)+0.87*(F2558-30))*G2558)</f>
        <v>0</v>
      </c>
      <c r="I2558" s="380"/>
      <c r="J2558" s="631" t="str">
        <f t="shared" si="771"/>
        <v/>
      </c>
      <c r="K2558" s="593">
        <f t="shared" si="752"/>
        <v>0</v>
      </c>
      <c r="L2558" s="651"/>
      <c r="M2558" s="418"/>
      <c r="N2558" s="419">
        <v>0</v>
      </c>
      <c r="O2558" s="287">
        <f t="shared" si="768"/>
        <v>0</v>
      </c>
      <c r="P2558" s="287">
        <f t="shared" si="769"/>
        <v>0</v>
      </c>
      <c r="Q2558" s="288"/>
      <c r="R2558" s="311" t="str">
        <f>IF(P2554&gt;0,"xy","")</f>
        <v/>
      </c>
      <c r="S2558" s="378" t="str">
        <f t="shared" si="776"/>
        <v/>
      </c>
    </row>
    <row r="2559" spans="2:19" hidden="1" x14ac:dyDescent="0.2">
      <c r="B2559" s="708" t="s">
        <v>168</v>
      </c>
      <c r="C2559" s="596"/>
      <c r="D2559" s="417" t="s">
        <v>403</v>
      </c>
      <c r="E2559" s="704"/>
      <c r="F2559" s="661">
        <v>500</v>
      </c>
      <c r="G2559" s="665">
        <f>VLOOKUP(D2554,'ENSAIOS DE ORÇAMENTO'!$C$3:$L$79,10,FALSE)</f>
        <v>0</v>
      </c>
      <c r="H2559" s="663">
        <f>IF(F2559&lt;=30,(1.05*F2559+2.18)*G2559,((1.05*30+2.18)+0.87*(F2559-30))*G2559)</f>
        <v>0</v>
      </c>
      <c r="I2559" s="380"/>
      <c r="J2559" s="631" t="str">
        <f t="shared" si="771"/>
        <v/>
      </c>
      <c r="K2559" s="593">
        <f t="shared" si="752"/>
        <v>0</v>
      </c>
      <c r="L2559" s="651"/>
      <c r="M2559" s="418"/>
      <c r="N2559" s="419">
        <v>0</v>
      </c>
      <c r="O2559" s="287">
        <f t="shared" si="768"/>
        <v>0</v>
      </c>
      <c r="P2559" s="287">
        <f t="shared" si="769"/>
        <v>0</v>
      </c>
      <c r="Q2559" s="288"/>
      <c r="R2559" s="311" t="str">
        <f>IF(P2554&gt;0,"xy","")</f>
        <v/>
      </c>
      <c r="S2559" s="378" t="str">
        <f t="shared" si="776"/>
        <v/>
      </c>
    </row>
    <row r="2560" spans="2:19" hidden="1" x14ac:dyDescent="0.2">
      <c r="B2560" s="708" t="s">
        <v>437</v>
      </c>
      <c r="C2560" s="596" t="s">
        <v>207</v>
      </c>
      <c r="D2560" s="383" t="str">
        <f>'ENSAIOS DE ORÇAMENTO'!C77</f>
        <v>ENSAIO DE ORÇAMENTO 8</v>
      </c>
      <c r="E2560" s="704"/>
      <c r="F2560" s="661"/>
      <c r="G2560" s="665"/>
      <c r="H2560" s="664">
        <f>SUM(H2561:H2565)</f>
        <v>0</v>
      </c>
      <c r="I2560" s="380">
        <f>VLOOKUP(D2560,'ENSAIOS DE ORÇAMENTO'!$C$3:$L$79,8,FALSE)</f>
        <v>0</v>
      </c>
      <c r="J2560" s="631">
        <f t="shared" si="771"/>
        <v>0</v>
      </c>
      <c r="K2560" s="593">
        <f t="shared" si="752"/>
        <v>0</v>
      </c>
      <c r="L2560" s="594"/>
      <c r="M2560" s="30"/>
      <c r="N2560" s="30">
        <v>0</v>
      </c>
      <c r="O2560" s="287">
        <f t="shared" si="768"/>
        <v>0</v>
      </c>
      <c r="P2560" s="287">
        <f t="shared" si="769"/>
        <v>0</v>
      </c>
      <c r="Q2560" s="288"/>
      <c r="S2560" s="378" t="str">
        <f t="shared" si="776"/>
        <v/>
      </c>
    </row>
    <row r="2561" spans="2:19" hidden="1" x14ac:dyDescent="0.2">
      <c r="B2561" s="708" t="s">
        <v>168</v>
      </c>
      <c r="C2561" s="596"/>
      <c r="D2561" s="417" t="s">
        <v>213</v>
      </c>
      <c r="E2561" s="704"/>
      <c r="F2561" s="661">
        <v>500</v>
      </c>
      <c r="G2561" s="665">
        <f>VLOOKUP(D2560,'ENSAIOS DE ORÇAMENTO'!$C$3:$L$79,4,FALSE)</f>
        <v>0</v>
      </c>
      <c r="H2561" s="664">
        <f>IF(F2561&lt;=30,(0.75*F2561+6.29)*G2561,((0.75*30+6.29)+0.62*(F2561-30))*G2561)</f>
        <v>0</v>
      </c>
      <c r="I2561" s="380"/>
      <c r="J2561" s="631" t="str">
        <f t="shared" si="771"/>
        <v/>
      </c>
      <c r="K2561" s="593">
        <f t="shared" si="752"/>
        <v>0</v>
      </c>
      <c r="L2561" s="651"/>
      <c r="M2561" s="418"/>
      <c r="N2561" s="419">
        <v>0</v>
      </c>
      <c r="O2561" s="287">
        <f t="shared" si="768"/>
        <v>0</v>
      </c>
      <c r="P2561" s="287">
        <f t="shared" si="769"/>
        <v>0</v>
      </c>
      <c r="Q2561" s="288"/>
      <c r="R2561" s="311" t="str">
        <f>IF(P2560&gt;0,"xy","")</f>
        <v/>
      </c>
      <c r="S2561" s="378" t="str">
        <f t="shared" si="776"/>
        <v/>
      </c>
    </row>
    <row r="2562" spans="2:19" hidden="1" x14ac:dyDescent="0.2">
      <c r="B2562" s="708" t="s">
        <v>168</v>
      </c>
      <c r="C2562" s="596"/>
      <c r="D2562" s="417" t="s">
        <v>249</v>
      </c>
      <c r="E2562" s="704"/>
      <c r="F2562" s="661">
        <v>180</v>
      </c>
      <c r="G2562" s="665">
        <f>VLOOKUP(D2560,'ENSAIOS DE ORÇAMENTO'!$C$3:$L$79,5,FALSE)</f>
        <v>0</v>
      </c>
      <c r="H2562" s="663">
        <f t="shared" ref="H2562" si="777">IF(F2562&lt;=30,(1.05*F2562+2.18)*G2562,((1.05*30+2.18)+0.87*(F2562-30))*G2562)</f>
        <v>0</v>
      </c>
      <c r="I2562" s="380"/>
      <c r="J2562" s="631" t="str">
        <f t="shared" si="771"/>
        <v/>
      </c>
      <c r="K2562" s="593">
        <f t="shared" ref="K2562:K2577" si="778">IF(ISBLANK(I2562),0,ROUND(J2562*(1+$F$10)*(1+$F$11*E2562),2))</f>
        <v>0</v>
      </c>
      <c r="L2562" s="651"/>
      <c r="M2562" s="418"/>
      <c r="N2562" s="419">
        <v>0</v>
      </c>
      <c r="O2562" s="287">
        <f t="shared" si="768"/>
        <v>0</v>
      </c>
      <c r="P2562" s="287">
        <f t="shared" si="769"/>
        <v>0</v>
      </c>
      <c r="Q2562" s="288"/>
      <c r="R2562" s="311" t="str">
        <f>IF(P2560&gt;0,"xy","")</f>
        <v/>
      </c>
      <c r="S2562" s="378" t="str">
        <f t="shared" si="776"/>
        <v/>
      </c>
    </row>
    <row r="2563" spans="2:19" hidden="1" x14ac:dyDescent="0.2">
      <c r="B2563" s="708" t="s">
        <v>168</v>
      </c>
      <c r="C2563" s="596"/>
      <c r="D2563" s="417" t="s">
        <v>253</v>
      </c>
      <c r="E2563" s="704"/>
      <c r="F2563" s="661">
        <v>20</v>
      </c>
      <c r="G2563" s="665">
        <f>VLOOKUP(D2560,'ENSAIOS DE ORÇAMENTO'!$C$3:$L$79,6,FALSE)</f>
        <v>0</v>
      </c>
      <c r="H2563" s="663">
        <f>IF(F2563&lt;=30,(1.05*F2563+2.18)*G2563,((1.05*30+2.18)+0.87*(F2563-30))*G2563)</f>
        <v>0</v>
      </c>
      <c r="I2563" s="380"/>
      <c r="J2563" s="631" t="str">
        <f t="shared" si="771"/>
        <v/>
      </c>
      <c r="K2563" s="593">
        <f t="shared" si="778"/>
        <v>0</v>
      </c>
      <c r="L2563" s="651"/>
      <c r="M2563" s="418"/>
      <c r="N2563" s="419">
        <v>0</v>
      </c>
      <c r="O2563" s="287">
        <f t="shared" si="768"/>
        <v>0</v>
      </c>
      <c r="P2563" s="287">
        <f t="shared" si="769"/>
        <v>0</v>
      </c>
      <c r="Q2563" s="288"/>
      <c r="R2563" s="243" t="str">
        <f>IF(P2560&gt;0,"xy","")</f>
        <v/>
      </c>
      <c r="S2563" s="378" t="str">
        <f t="shared" si="776"/>
        <v/>
      </c>
    </row>
    <row r="2564" spans="2:19" hidden="1" x14ac:dyDescent="0.2">
      <c r="B2564" s="708" t="s">
        <v>168</v>
      </c>
      <c r="C2564" s="596"/>
      <c r="D2564" s="417" t="s">
        <v>402</v>
      </c>
      <c r="E2564" s="704"/>
      <c r="F2564" s="661">
        <v>30</v>
      </c>
      <c r="G2564" s="665">
        <f>VLOOKUP(D2560,'ENSAIOS DE ORÇAMENTO'!$C$3:$L$79,3,FALSE)</f>
        <v>0</v>
      </c>
      <c r="H2564" s="663">
        <f>IF(F2564&lt;=30,(1.05*F2564+2.18)*G2564,((1.05*30+2.18)+0.87*(F2564-30))*G2564)</f>
        <v>0</v>
      </c>
      <c r="I2564" s="380"/>
      <c r="J2564" s="631" t="str">
        <f t="shared" si="771"/>
        <v/>
      </c>
      <c r="K2564" s="593">
        <f t="shared" si="778"/>
        <v>0</v>
      </c>
      <c r="L2564" s="651"/>
      <c r="M2564" s="418"/>
      <c r="N2564" s="419">
        <v>0</v>
      </c>
      <c r="O2564" s="287">
        <f t="shared" si="768"/>
        <v>0</v>
      </c>
      <c r="P2564" s="287">
        <f t="shared" si="769"/>
        <v>0</v>
      </c>
      <c r="Q2564" s="288"/>
      <c r="R2564" s="311" t="str">
        <f>IF(P2560&gt;0,"xy","")</f>
        <v/>
      </c>
      <c r="S2564" s="378" t="str">
        <f t="shared" si="776"/>
        <v/>
      </c>
    </row>
    <row r="2565" spans="2:19" hidden="1" x14ac:dyDescent="0.2">
      <c r="B2565" s="708" t="s">
        <v>168</v>
      </c>
      <c r="C2565" s="596"/>
      <c r="D2565" s="417" t="s">
        <v>403</v>
      </c>
      <c r="E2565" s="704"/>
      <c r="F2565" s="661">
        <v>500</v>
      </c>
      <c r="G2565" s="665">
        <f>VLOOKUP(D2560,'ENSAIOS DE ORÇAMENTO'!$C$3:$L$79,10,FALSE)</f>
        <v>0</v>
      </c>
      <c r="H2565" s="663">
        <f>IF(F2565&lt;=30,(1.05*F2565+2.18)*G2565,((1.05*30+2.18)+0.87*(F2565-30))*G2565)</f>
        <v>0</v>
      </c>
      <c r="I2565" s="380"/>
      <c r="J2565" s="631" t="str">
        <f t="shared" si="771"/>
        <v/>
      </c>
      <c r="K2565" s="593">
        <f t="shared" si="778"/>
        <v>0</v>
      </c>
      <c r="L2565" s="651"/>
      <c r="M2565" s="418"/>
      <c r="N2565" s="419">
        <v>0</v>
      </c>
      <c r="O2565" s="287">
        <f t="shared" si="768"/>
        <v>0</v>
      </c>
      <c r="P2565" s="287">
        <f t="shared" si="769"/>
        <v>0</v>
      </c>
      <c r="Q2565" s="288"/>
      <c r="R2565" s="311" t="str">
        <f>IF(P2560&gt;0,"xy","")</f>
        <v/>
      </c>
      <c r="S2565" s="378" t="str">
        <f t="shared" si="776"/>
        <v/>
      </c>
    </row>
    <row r="2566" spans="2:19" hidden="1" x14ac:dyDescent="0.2">
      <c r="B2566" s="708" t="s">
        <v>438</v>
      </c>
      <c r="C2566" s="596" t="s">
        <v>207</v>
      </c>
      <c r="D2566" s="383" t="str">
        <f>'ENSAIOS DE ORÇAMENTO'!C78</f>
        <v>ENSAIO DE ORÇAMENTO 9</v>
      </c>
      <c r="E2566" s="704"/>
      <c r="F2566" s="661"/>
      <c r="G2566" s="665"/>
      <c r="H2566" s="664">
        <f>SUM(H2567:H2571)</f>
        <v>0</v>
      </c>
      <c r="I2566" s="380">
        <f>VLOOKUP(D2566,'ENSAIOS DE ORÇAMENTO'!$C$3:$L$79,8,FALSE)</f>
        <v>0</v>
      </c>
      <c r="J2566" s="631">
        <f t="shared" si="771"/>
        <v>0</v>
      </c>
      <c r="K2566" s="593">
        <f t="shared" si="778"/>
        <v>0</v>
      </c>
      <c r="L2566" s="594"/>
      <c r="M2566" s="30"/>
      <c r="N2566" s="30">
        <v>0</v>
      </c>
      <c r="O2566" s="287">
        <f t="shared" si="768"/>
        <v>0</v>
      </c>
      <c r="P2566" s="287">
        <f t="shared" si="769"/>
        <v>0</v>
      </c>
      <c r="Q2566" s="288"/>
      <c r="S2566" s="378" t="str">
        <f t="shared" si="776"/>
        <v/>
      </c>
    </row>
    <row r="2567" spans="2:19" hidden="1" x14ac:dyDescent="0.2">
      <c r="B2567" s="708" t="s">
        <v>168</v>
      </c>
      <c r="C2567" s="596"/>
      <c r="D2567" s="417" t="s">
        <v>213</v>
      </c>
      <c r="E2567" s="704"/>
      <c r="F2567" s="661">
        <v>500</v>
      </c>
      <c r="G2567" s="665">
        <f>VLOOKUP(D2566,'ENSAIOS DE ORÇAMENTO'!$C$3:$L$79,4,FALSE)</f>
        <v>0</v>
      </c>
      <c r="H2567" s="664">
        <f>IF(F2567&lt;=30,(0.75*F2567+6.29)*G2567,((0.75*30+6.29)+0.62*(F2567-30))*G2567)</f>
        <v>0</v>
      </c>
      <c r="I2567" s="380"/>
      <c r="J2567" s="631" t="str">
        <f t="shared" si="771"/>
        <v/>
      </c>
      <c r="K2567" s="593">
        <f t="shared" si="778"/>
        <v>0</v>
      </c>
      <c r="L2567" s="651"/>
      <c r="M2567" s="418"/>
      <c r="N2567" s="419">
        <v>0</v>
      </c>
      <c r="O2567" s="287">
        <f t="shared" si="768"/>
        <v>0</v>
      </c>
      <c r="P2567" s="287">
        <f t="shared" si="769"/>
        <v>0</v>
      </c>
      <c r="Q2567" s="288"/>
      <c r="R2567" s="311" t="str">
        <f>IF(P2566&gt;0,"xy","")</f>
        <v/>
      </c>
      <c r="S2567" s="378" t="str">
        <f t="shared" si="776"/>
        <v/>
      </c>
    </row>
    <row r="2568" spans="2:19" hidden="1" x14ac:dyDescent="0.2">
      <c r="B2568" s="708" t="s">
        <v>168</v>
      </c>
      <c r="C2568" s="596"/>
      <c r="D2568" s="417" t="s">
        <v>249</v>
      </c>
      <c r="E2568" s="704"/>
      <c r="F2568" s="661">
        <v>180</v>
      </c>
      <c r="G2568" s="665">
        <f>VLOOKUP(D2566,'ENSAIOS DE ORÇAMENTO'!$C$3:$L$79,5,FALSE)</f>
        <v>0</v>
      </c>
      <c r="H2568" s="663">
        <f t="shared" ref="H2568" si="779">IF(F2568&lt;=30,(1.05*F2568+2.18)*G2568,((1.05*30+2.18)+0.87*(F2568-30))*G2568)</f>
        <v>0</v>
      </c>
      <c r="I2568" s="380"/>
      <c r="J2568" s="631" t="str">
        <f t="shared" si="771"/>
        <v/>
      </c>
      <c r="K2568" s="593">
        <f t="shared" si="778"/>
        <v>0</v>
      </c>
      <c r="L2568" s="651"/>
      <c r="M2568" s="418"/>
      <c r="N2568" s="419">
        <v>0</v>
      </c>
      <c r="O2568" s="287">
        <f t="shared" si="768"/>
        <v>0</v>
      </c>
      <c r="P2568" s="287">
        <f t="shared" si="769"/>
        <v>0</v>
      </c>
      <c r="Q2568" s="288"/>
      <c r="R2568" s="311" t="str">
        <f>IF(P2566&gt;0,"xy","")</f>
        <v/>
      </c>
      <c r="S2568" s="378" t="str">
        <f t="shared" si="776"/>
        <v/>
      </c>
    </row>
    <row r="2569" spans="2:19" hidden="1" x14ac:dyDescent="0.2">
      <c r="B2569" s="708" t="s">
        <v>168</v>
      </c>
      <c r="C2569" s="596"/>
      <c r="D2569" s="417" t="s">
        <v>253</v>
      </c>
      <c r="E2569" s="704"/>
      <c r="F2569" s="661">
        <v>20</v>
      </c>
      <c r="G2569" s="665">
        <f>VLOOKUP(D2566,'ENSAIOS DE ORÇAMENTO'!$C$3:$L$79,6,FALSE)</f>
        <v>0</v>
      </c>
      <c r="H2569" s="663">
        <f>IF(F2569&lt;=30,(1.05*F2569+2.18)*G2569,((1.05*30+2.18)+0.87*(F2569-30))*G2569)</f>
        <v>0</v>
      </c>
      <c r="I2569" s="380"/>
      <c r="J2569" s="631" t="str">
        <f t="shared" si="771"/>
        <v/>
      </c>
      <c r="K2569" s="593">
        <f t="shared" si="778"/>
        <v>0</v>
      </c>
      <c r="L2569" s="651"/>
      <c r="M2569" s="418"/>
      <c r="N2569" s="419">
        <v>0</v>
      </c>
      <c r="O2569" s="287">
        <f t="shared" si="768"/>
        <v>0</v>
      </c>
      <c r="P2569" s="287">
        <f t="shared" si="769"/>
        <v>0</v>
      </c>
      <c r="Q2569" s="288"/>
      <c r="R2569" s="243" t="str">
        <f>IF(P2566&gt;0,"xy","")</f>
        <v/>
      </c>
      <c r="S2569" s="378" t="str">
        <f t="shared" si="776"/>
        <v/>
      </c>
    </row>
    <row r="2570" spans="2:19" hidden="1" x14ac:dyDescent="0.2">
      <c r="B2570" s="708" t="s">
        <v>168</v>
      </c>
      <c r="C2570" s="596"/>
      <c r="D2570" s="417" t="s">
        <v>402</v>
      </c>
      <c r="E2570" s="704"/>
      <c r="F2570" s="661">
        <v>30</v>
      </c>
      <c r="G2570" s="665">
        <f>VLOOKUP(D2566,'ENSAIOS DE ORÇAMENTO'!$C$3:$L$79,3,FALSE)</f>
        <v>0</v>
      </c>
      <c r="H2570" s="663">
        <f>IF(F2570&lt;=30,(1.05*F2570+2.18)*G2570,((1.05*30+2.18)+0.87*(F2570-30))*G2570)</f>
        <v>0</v>
      </c>
      <c r="I2570" s="380"/>
      <c r="J2570" s="631" t="str">
        <f t="shared" si="771"/>
        <v/>
      </c>
      <c r="K2570" s="593">
        <f t="shared" si="778"/>
        <v>0</v>
      </c>
      <c r="L2570" s="651"/>
      <c r="M2570" s="418"/>
      <c r="N2570" s="419">
        <v>0</v>
      </c>
      <c r="O2570" s="287">
        <f t="shared" si="768"/>
        <v>0</v>
      </c>
      <c r="P2570" s="287">
        <f t="shared" si="769"/>
        <v>0</v>
      </c>
      <c r="Q2570" s="288"/>
      <c r="R2570" s="311" t="str">
        <f>IF(P2566&gt;0,"xy","")</f>
        <v/>
      </c>
      <c r="S2570" s="378" t="str">
        <f t="shared" si="776"/>
        <v/>
      </c>
    </row>
    <row r="2571" spans="2:19" hidden="1" x14ac:dyDescent="0.2">
      <c r="B2571" s="708" t="s">
        <v>168</v>
      </c>
      <c r="C2571" s="596"/>
      <c r="D2571" s="417" t="s">
        <v>403</v>
      </c>
      <c r="E2571" s="704"/>
      <c r="F2571" s="661">
        <v>500</v>
      </c>
      <c r="G2571" s="665">
        <f>VLOOKUP(D2566,'ENSAIOS DE ORÇAMENTO'!$C$3:$L$79,10,FALSE)</f>
        <v>0</v>
      </c>
      <c r="H2571" s="663">
        <f>IF(F2571&lt;=30,(1.05*F2571+2.18)*G2571,((1.05*30+2.18)+0.87*(F2571-30))*G2571)</f>
        <v>0</v>
      </c>
      <c r="I2571" s="380"/>
      <c r="J2571" s="631" t="str">
        <f t="shared" si="771"/>
        <v/>
      </c>
      <c r="K2571" s="593">
        <f t="shared" si="778"/>
        <v>0</v>
      </c>
      <c r="L2571" s="651"/>
      <c r="M2571" s="418"/>
      <c r="N2571" s="419">
        <v>0</v>
      </c>
      <c r="O2571" s="287">
        <f t="shared" si="768"/>
        <v>0</v>
      </c>
      <c r="P2571" s="287">
        <f t="shared" si="769"/>
        <v>0</v>
      </c>
      <c r="Q2571" s="288"/>
      <c r="R2571" s="311" t="str">
        <f>IF(P2566&gt;0,"xy","")</f>
        <v/>
      </c>
      <c r="S2571" s="378" t="str">
        <f t="shared" si="776"/>
        <v/>
      </c>
    </row>
    <row r="2572" spans="2:19" hidden="1" x14ac:dyDescent="0.2">
      <c r="B2572" s="708" t="s">
        <v>439</v>
      </c>
      <c r="C2572" s="596" t="s">
        <v>207</v>
      </c>
      <c r="D2572" s="383" t="str">
        <f>'ENSAIOS DE ORÇAMENTO'!C79</f>
        <v>ENSAIO DE ORÇAMENTO 10</v>
      </c>
      <c r="E2572" s="704"/>
      <c r="F2572" s="661"/>
      <c r="G2572" s="665"/>
      <c r="H2572" s="664">
        <f>SUM(H2573:H2577)</f>
        <v>0</v>
      </c>
      <c r="I2572" s="380">
        <f>VLOOKUP(D2572,'ENSAIOS DE ORÇAMENTO'!$C$3:$L$79,8,FALSE)</f>
        <v>0</v>
      </c>
      <c r="J2572" s="631">
        <f t="shared" si="771"/>
        <v>0</v>
      </c>
      <c r="K2572" s="593">
        <f t="shared" si="778"/>
        <v>0</v>
      </c>
      <c r="L2572" s="594"/>
      <c r="M2572" s="30"/>
      <c r="N2572" s="30">
        <v>0</v>
      </c>
      <c r="O2572" s="287">
        <f t="shared" si="768"/>
        <v>0</v>
      </c>
      <c r="P2572" s="287">
        <f t="shared" si="769"/>
        <v>0</v>
      </c>
      <c r="Q2572" s="288"/>
      <c r="S2572" s="378" t="str">
        <f t="shared" si="776"/>
        <v/>
      </c>
    </row>
    <row r="2573" spans="2:19" hidden="1" x14ac:dyDescent="0.2">
      <c r="B2573" s="708" t="s">
        <v>168</v>
      </c>
      <c r="C2573" s="596"/>
      <c r="D2573" s="417" t="s">
        <v>213</v>
      </c>
      <c r="E2573" s="704"/>
      <c r="F2573" s="661">
        <v>500</v>
      </c>
      <c r="G2573" s="665">
        <f>VLOOKUP(D2572,'ENSAIOS DE ORÇAMENTO'!$C$3:$L$79,4,FALSE)</f>
        <v>0</v>
      </c>
      <c r="H2573" s="664">
        <f>IF(F2573&lt;=30,(0.75*F2573+6.29)*G2573,((0.75*30+6.29)+0.62*(F2573-30))*G2573)</f>
        <v>0</v>
      </c>
      <c r="I2573" s="380"/>
      <c r="J2573" s="631" t="str">
        <f t="shared" si="771"/>
        <v/>
      </c>
      <c r="K2573" s="593">
        <f t="shared" si="778"/>
        <v>0</v>
      </c>
      <c r="L2573" s="651" t="s">
        <v>755</v>
      </c>
      <c r="M2573" s="418"/>
      <c r="N2573" s="419">
        <v>0</v>
      </c>
      <c r="O2573" s="287">
        <f t="shared" si="768"/>
        <v>0</v>
      </c>
      <c r="P2573" s="287">
        <f t="shared" si="769"/>
        <v>0</v>
      </c>
      <c r="Q2573" s="288"/>
      <c r="R2573" s="311" t="str">
        <f>IF(P2572&gt;0,"xy","")</f>
        <v/>
      </c>
      <c r="S2573" s="378" t="str">
        <f t="shared" si="776"/>
        <v/>
      </c>
    </row>
    <row r="2574" spans="2:19" hidden="1" x14ac:dyDescent="0.2">
      <c r="B2574" s="708" t="s">
        <v>168</v>
      </c>
      <c r="C2574" s="596"/>
      <c r="D2574" s="417" t="s">
        <v>249</v>
      </c>
      <c r="E2574" s="704"/>
      <c r="F2574" s="661">
        <v>180</v>
      </c>
      <c r="G2574" s="665">
        <f>VLOOKUP(D2572,'ENSAIOS DE ORÇAMENTO'!$C$3:$L$79,5,FALSE)</f>
        <v>0</v>
      </c>
      <c r="H2574" s="663">
        <f t="shared" ref="H2574" si="780">IF(F2574&lt;=30,(1.05*F2574+2.18)*G2574,((1.05*30+2.18)+0.87*(F2574-30))*G2574)</f>
        <v>0</v>
      </c>
      <c r="I2574" s="380"/>
      <c r="J2574" s="631" t="str">
        <f t="shared" si="771"/>
        <v/>
      </c>
      <c r="K2574" s="593">
        <f t="shared" si="778"/>
        <v>0</v>
      </c>
      <c r="L2574" s="651" t="s">
        <v>755</v>
      </c>
      <c r="M2574" s="418"/>
      <c r="N2574" s="419">
        <v>0</v>
      </c>
      <c r="O2574" s="287">
        <f t="shared" si="768"/>
        <v>0</v>
      </c>
      <c r="P2574" s="287">
        <f t="shared" si="769"/>
        <v>0</v>
      </c>
      <c r="Q2574" s="288"/>
      <c r="R2574" s="311" t="str">
        <f>IF(P2572&gt;0,"xy","")</f>
        <v/>
      </c>
      <c r="S2574" s="378" t="str">
        <f t="shared" si="776"/>
        <v/>
      </c>
    </row>
    <row r="2575" spans="2:19" hidden="1" x14ac:dyDescent="0.2">
      <c r="B2575" s="708" t="s">
        <v>168</v>
      </c>
      <c r="C2575" s="596"/>
      <c r="D2575" s="417" t="s">
        <v>253</v>
      </c>
      <c r="E2575" s="704"/>
      <c r="F2575" s="661">
        <v>20</v>
      </c>
      <c r="G2575" s="665">
        <f>VLOOKUP(D2572,'ENSAIOS DE ORÇAMENTO'!$C$3:$L$79,6,FALSE)</f>
        <v>0</v>
      </c>
      <c r="H2575" s="663">
        <f>IF(F2575&lt;=30,(1.05*F2575+2.18)*G2575,((1.05*30+2.18)+0.87*(F2575-30))*G2575)</f>
        <v>0</v>
      </c>
      <c r="I2575" s="380"/>
      <c r="J2575" s="631" t="str">
        <f t="shared" si="771"/>
        <v/>
      </c>
      <c r="K2575" s="593">
        <f t="shared" si="778"/>
        <v>0</v>
      </c>
      <c r="L2575" s="651" t="s">
        <v>755</v>
      </c>
      <c r="M2575" s="418"/>
      <c r="N2575" s="419">
        <v>0</v>
      </c>
      <c r="O2575" s="287">
        <f t="shared" si="768"/>
        <v>0</v>
      </c>
      <c r="P2575" s="287">
        <f t="shared" si="769"/>
        <v>0</v>
      </c>
      <c r="Q2575" s="288"/>
      <c r="R2575" s="243" t="str">
        <f>IF(P2572&gt;0,"xy","")</f>
        <v/>
      </c>
      <c r="S2575" s="378" t="str">
        <f t="shared" si="776"/>
        <v/>
      </c>
    </row>
    <row r="2576" spans="2:19" hidden="1" x14ac:dyDescent="0.2">
      <c r="B2576" s="708" t="s">
        <v>168</v>
      </c>
      <c r="C2576" s="596"/>
      <c r="D2576" s="417" t="s">
        <v>402</v>
      </c>
      <c r="E2576" s="704"/>
      <c r="F2576" s="661">
        <v>30</v>
      </c>
      <c r="G2576" s="665">
        <f>VLOOKUP(D2572,'ENSAIOS DE ORÇAMENTO'!$C$3:$L$79,3,FALSE)</f>
        <v>0</v>
      </c>
      <c r="H2576" s="663">
        <f>IF(F2576&lt;=30,(1.05*F2576+2.18)*G2576,((1.05*30+2.18)+0.87*(F2576-30))*G2576)</f>
        <v>0</v>
      </c>
      <c r="I2576" s="380"/>
      <c r="J2576" s="631" t="str">
        <f t="shared" si="771"/>
        <v/>
      </c>
      <c r="K2576" s="593">
        <f t="shared" si="778"/>
        <v>0</v>
      </c>
      <c r="L2576" s="651" t="s">
        <v>755</v>
      </c>
      <c r="M2576" s="418"/>
      <c r="N2576" s="419">
        <v>0</v>
      </c>
      <c r="O2576" s="287">
        <f t="shared" si="768"/>
        <v>0</v>
      </c>
      <c r="P2576" s="287">
        <f t="shared" si="769"/>
        <v>0</v>
      </c>
      <c r="Q2576" s="288"/>
      <c r="R2576" s="311" t="str">
        <f>IF(P2572&gt;0,"xy","")</f>
        <v/>
      </c>
      <c r="S2576" s="378" t="str">
        <f t="shared" si="776"/>
        <v/>
      </c>
    </row>
    <row r="2577" spans="2:19" hidden="1" x14ac:dyDescent="0.2">
      <c r="B2577" s="708" t="s">
        <v>168</v>
      </c>
      <c r="C2577" s="596"/>
      <c r="D2577" s="417" t="s">
        <v>403</v>
      </c>
      <c r="E2577" s="704"/>
      <c r="F2577" s="661">
        <v>500</v>
      </c>
      <c r="G2577" s="665">
        <f>VLOOKUP(D2572,'ENSAIOS DE ORÇAMENTO'!$C$3:$L$79,10,FALSE)</f>
        <v>0</v>
      </c>
      <c r="H2577" s="663">
        <f>IF(F2577&lt;=30,(1.05*F2577+2.18)*G2577,((1.05*30+2.18)+0.87*(F2577-30))*G2577)</f>
        <v>0</v>
      </c>
      <c r="I2577" s="380"/>
      <c r="J2577" s="631" t="str">
        <f t="shared" ref="J2577" si="781">IF(ISBLANK(I2577),"",SUM(H2577:I2577))</f>
        <v/>
      </c>
      <c r="K2577" s="593">
        <f t="shared" si="778"/>
        <v>0</v>
      </c>
      <c r="L2577" s="651" t="s">
        <v>755</v>
      </c>
      <c r="M2577" s="418"/>
      <c r="N2577" s="419">
        <v>0</v>
      </c>
      <c r="O2577" s="287">
        <f t="shared" si="768"/>
        <v>0</v>
      </c>
      <c r="P2577" s="384">
        <f t="shared" si="769"/>
        <v>0</v>
      </c>
      <c r="Q2577" s="288"/>
      <c r="R2577" s="311" t="str">
        <f>IF(P2572&gt;0,"xy","")</f>
        <v/>
      </c>
      <c r="S2577" s="378" t="str">
        <f t="shared" si="776"/>
        <v/>
      </c>
    </row>
    <row r="2578" spans="2:19" x14ac:dyDescent="0.2">
      <c r="B2578" s="797" t="s">
        <v>188</v>
      </c>
      <c r="C2578" s="638"/>
      <c r="D2578" s="386" t="s">
        <v>450</v>
      </c>
      <c r="E2578" s="798"/>
      <c r="F2578" s="799"/>
      <c r="G2578" s="389"/>
      <c r="H2578" s="390"/>
      <c r="I2578" s="391"/>
      <c r="J2578" s="601"/>
      <c r="K2578" s="601"/>
      <c r="L2578" s="601" t="s">
        <v>755</v>
      </c>
      <c r="M2578" s="390"/>
      <c r="N2578" s="391"/>
      <c r="O2578" s="391"/>
      <c r="P2578" s="392"/>
      <c r="Q2578" s="288"/>
      <c r="R2578" s="377" t="str">
        <f>IF(SUM(P2579:P2609)&gt;0,"y","")</f>
        <v>y</v>
      </c>
      <c r="S2578" s="378" t="str">
        <f t="shared" si="776"/>
        <v>x</v>
      </c>
    </row>
    <row r="2579" spans="2:19" ht="26.25" thickBot="1" x14ac:dyDescent="0.25">
      <c r="B2579" s="730" t="s">
        <v>2100</v>
      </c>
      <c r="C2579" s="300" t="s">
        <v>2101</v>
      </c>
      <c r="D2579" s="393" t="s">
        <v>2099</v>
      </c>
      <c r="E2579" s="394"/>
      <c r="F2579" s="402"/>
      <c r="G2579" s="396"/>
      <c r="H2579" s="395"/>
      <c r="I2579" s="380">
        <v>91.7</v>
      </c>
      <c r="J2579" s="631">
        <f t="shared" ref="J2579" si="782">IF(ISBLANK(I2579),"",SUM(H2579:I2579))</f>
        <v>91.7</v>
      </c>
      <c r="K2579" s="593">
        <f t="shared" ref="K2579" si="783">IF(ISBLANK(I2579),0,ROUND(J2579*(1+$F$10)*(1+$F$11*E2579),2))</f>
        <v>116.23</v>
      </c>
      <c r="L2579" s="400" t="s">
        <v>19</v>
      </c>
      <c r="M2579" s="415">
        <v>140</v>
      </c>
      <c r="N2579" s="415">
        <v>116.23</v>
      </c>
      <c r="O2579" s="287">
        <f t="shared" ref="O2579" si="784">IF(ISBLANK(M2579),0,ROUND(K2579*M2579,2))</f>
        <v>16272.2</v>
      </c>
      <c r="P2579" s="384">
        <f t="shared" ref="P2579:P2609" si="785">IF(ISBLANK(N2579),0,ROUND(M2579*N2579,2))</f>
        <v>16272.2</v>
      </c>
      <c r="Q2579" s="288"/>
      <c r="R2579" s="243"/>
      <c r="S2579" s="378" t="str">
        <f t="shared" si="776"/>
        <v>x</v>
      </c>
    </row>
    <row r="2580" spans="2:19" hidden="1" x14ac:dyDescent="0.2">
      <c r="B2580" s="800" t="s">
        <v>188</v>
      </c>
      <c r="C2580" s="746" t="s">
        <v>188</v>
      </c>
      <c r="D2580" s="801"/>
      <c r="E2580" s="394"/>
      <c r="F2580" s="402"/>
      <c r="G2580" s="396"/>
      <c r="H2580" s="395"/>
      <c r="I2580" s="397"/>
      <c r="J2580" s="398"/>
      <c r="K2580" s="403">
        <f t="shared" ref="K2579:K2609" si="786">IF(ISBLANK(J2580),0,ROUND(J2580*(1+$F$10)*(1+$F$11*E2580),2))</f>
        <v>0</v>
      </c>
      <c r="L2580" s="400" t="s">
        <v>755</v>
      </c>
      <c r="M2580" s="30"/>
      <c r="N2580" s="30"/>
      <c r="O2580" s="287">
        <f>IF(ISBLANK(M2580),0,ROUND(K2580*M2580,2))</f>
        <v>0</v>
      </c>
      <c r="P2580" s="287">
        <f t="shared" si="785"/>
        <v>0</v>
      </c>
      <c r="Q2580" s="288"/>
      <c r="R2580" s="243"/>
      <c r="S2580" s="378" t="str">
        <f t="shared" si="776"/>
        <v/>
      </c>
    </row>
    <row r="2581" spans="2:19" hidden="1" x14ac:dyDescent="0.2">
      <c r="B2581" s="800" t="s">
        <v>188</v>
      </c>
      <c r="C2581" s="746" t="s">
        <v>188</v>
      </c>
      <c r="D2581" s="801"/>
      <c r="E2581" s="394"/>
      <c r="F2581" s="402"/>
      <c r="G2581" s="396"/>
      <c r="H2581" s="395"/>
      <c r="I2581" s="397"/>
      <c r="J2581" s="398"/>
      <c r="K2581" s="403">
        <f t="shared" si="786"/>
        <v>0</v>
      </c>
      <c r="L2581" s="400" t="s">
        <v>755</v>
      </c>
      <c r="M2581" s="30"/>
      <c r="N2581" s="30"/>
      <c r="O2581" s="287">
        <f t="shared" ref="O2581:O2609" si="787">IF(ISBLANK(M2581),0,ROUND(K2581*M2581,2))</f>
        <v>0</v>
      </c>
      <c r="P2581" s="287">
        <f t="shared" si="785"/>
        <v>0</v>
      </c>
      <c r="Q2581" s="288"/>
      <c r="R2581" s="243"/>
      <c r="S2581" s="378" t="str">
        <f t="shared" si="776"/>
        <v/>
      </c>
    </row>
    <row r="2582" spans="2:19" hidden="1" x14ac:dyDescent="0.2">
      <c r="B2582" s="800" t="s">
        <v>188</v>
      </c>
      <c r="C2582" s="746" t="s">
        <v>188</v>
      </c>
      <c r="D2582" s="801"/>
      <c r="E2582" s="394"/>
      <c r="F2582" s="402"/>
      <c r="G2582" s="396"/>
      <c r="H2582" s="395"/>
      <c r="I2582" s="397"/>
      <c r="J2582" s="398"/>
      <c r="K2582" s="403">
        <f t="shared" si="786"/>
        <v>0</v>
      </c>
      <c r="L2582" s="400" t="s">
        <v>755</v>
      </c>
      <c r="M2582" s="30"/>
      <c r="N2582" s="30"/>
      <c r="O2582" s="287">
        <f t="shared" si="787"/>
        <v>0</v>
      </c>
      <c r="P2582" s="287">
        <f t="shared" si="785"/>
        <v>0</v>
      </c>
      <c r="Q2582" s="288"/>
      <c r="R2582" s="243"/>
      <c r="S2582" s="378" t="str">
        <f t="shared" si="776"/>
        <v/>
      </c>
    </row>
    <row r="2583" spans="2:19" hidden="1" x14ac:dyDescent="0.2">
      <c r="B2583" s="800" t="s">
        <v>188</v>
      </c>
      <c r="C2583" s="746" t="s">
        <v>188</v>
      </c>
      <c r="D2583" s="801"/>
      <c r="E2583" s="394"/>
      <c r="F2583" s="402"/>
      <c r="G2583" s="396"/>
      <c r="H2583" s="395"/>
      <c r="I2583" s="397"/>
      <c r="J2583" s="398"/>
      <c r="K2583" s="403">
        <f t="shared" si="786"/>
        <v>0</v>
      </c>
      <c r="L2583" s="400" t="s">
        <v>755</v>
      </c>
      <c r="M2583" s="30"/>
      <c r="N2583" s="30"/>
      <c r="O2583" s="287">
        <f t="shared" si="787"/>
        <v>0</v>
      </c>
      <c r="P2583" s="287">
        <f t="shared" si="785"/>
        <v>0</v>
      </c>
      <c r="Q2583" s="288"/>
      <c r="R2583" s="243"/>
      <c r="S2583" s="378" t="str">
        <f t="shared" si="776"/>
        <v/>
      </c>
    </row>
    <row r="2584" spans="2:19" hidden="1" x14ac:dyDescent="0.2">
      <c r="B2584" s="800" t="s">
        <v>188</v>
      </c>
      <c r="C2584" s="746" t="s">
        <v>188</v>
      </c>
      <c r="D2584" s="801"/>
      <c r="E2584" s="394"/>
      <c r="F2584" s="402"/>
      <c r="G2584" s="396"/>
      <c r="H2584" s="395"/>
      <c r="I2584" s="397"/>
      <c r="J2584" s="398"/>
      <c r="K2584" s="403">
        <f t="shared" si="786"/>
        <v>0</v>
      </c>
      <c r="L2584" s="400" t="s">
        <v>755</v>
      </c>
      <c r="M2584" s="30"/>
      <c r="N2584" s="30"/>
      <c r="O2584" s="287">
        <f t="shared" si="787"/>
        <v>0</v>
      </c>
      <c r="P2584" s="287">
        <f t="shared" si="785"/>
        <v>0</v>
      </c>
      <c r="Q2584" s="288"/>
      <c r="R2584" s="243"/>
      <c r="S2584" s="378" t="str">
        <f t="shared" si="776"/>
        <v/>
      </c>
    </row>
    <row r="2585" spans="2:19" hidden="1" x14ac:dyDescent="0.2">
      <c r="B2585" s="800" t="s">
        <v>188</v>
      </c>
      <c r="C2585" s="746" t="s">
        <v>188</v>
      </c>
      <c r="D2585" s="801"/>
      <c r="E2585" s="394"/>
      <c r="F2585" s="402"/>
      <c r="G2585" s="396"/>
      <c r="H2585" s="395"/>
      <c r="I2585" s="397"/>
      <c r="J2585" s="398"/>
      <c r="K2585" s="403">
        <f t="shared" si="786"/>
        <v>0</v>
      </c>
      <c r="L2585" s="400" t="s">
        <v>755</v>
      </c>
      <c r="M2585" s="30"/>
      <c r="N2585" s="30"/>
      <c r="O2585" s="287">
        <f t="shared" si="787"/>
        <v>0</v>
      </c>
      <c r="P2585" s="287">
        <f t="shared" si="785"/>
        <v>0</v>
      </c>
      <c r="Q2585" s="288"/>
      <c r="R2585" s="243"/>
      <c r="S2585" s="378" t="str">
        <f t="shared" si="776"/>
        <v/>
      </c>
    </row>
    <row r="2586" spans="2:19" hidden="1" x14ac:dyDescent="0.2">
      <c r="B2586" s="800" t="s">
        <v>188</v>
      </c>
      <c r="C2586" s="746" t="s">
        <v>188</v>
      </c>
      <c r="D2586" s="801"/>
      <c r="E2586" s="394"/>
      <c r="F2586" s="402"/>
      <c r="G2586" s="396"/>
      <c r="H2586" s="395"/>
      <c r="I2586" s="397"/>
      <c r="J2586" s="398"/>
      <c r="K2586" s="403">
        <f t="shared" si="786"/>
        <v>0</v>
      </c>
      <c r="L2586" s="400" t="s">
        <v>755</v>
      </c>
      <c r="M2586" s="30"/>
      <c r="N2586" s="30"/>
      <c r="O2586" s="287">
        <f t="shared" si="787"/>
        <v>0</v>
      </c>
      <c r="P2586" s="287">
        <f t="shared" si="785"/>
        <v>0</v>
      </c>
      <c r="Q2586" s="288"/>
      <c r="R2586" s="243"/>
      <c r="S2586" s="378" t="str">
        <f t="shared" si="776"/>
        <v/>
      </c>
    </row>
    <row r="2587" spans="2:19" hidden="1" x14ac:dyDescent="0.2">
      <c r="B2587" s="800" t="s">
        <v>188</v>
      </c>
      <c r="C2587" s="746" t="s">
        <v>188</v>
      </c>
      <c r="D2587" s="801"/>
      <c r="E2587" s="394"/>
      <c r="F2587" s="402"/>
      <c r="G2587" s="396"/>
      <c r="H2587" s="395"/>
      <c r="I2587" s="397"/>
      <c r="J2587" s="398"/>
      <c r="K2587" s="403">
        <f t="shared" si="786"/>
        <v>0</v>
      </c>
      <c r="L2587" s="400" t="s">
        <v>755</v>
      </c>
      <c r="M2587" s="30"/>
      <c r="N2587" s="30"/>
      <c r="O2587" s="287">
        <f t="shared" si="787"/>
        <v>0</v>
      </c>
      <c r="P2587" s="287">
        <f t="shared" si="785"/>
        <v>0</v>
      </c>
      <c r="Q2587" s="288"/>
      <c r="R2587" s="243"/>
      <c r="S2587" s="378" t="str">
        <f t="shared" si="776"/>
        <v/>
      </c>
    </row>
    <row r="2588" spans="2:19" hidden="1" x14ac:dyDescent="0.2">
      <c r="B2588" s="800" t="s">
        <v>188</v>
      </c>
      <c r="C2588" s="746" t="s">
        <v>188</v>
      </c>
      <c r="D2588" s="801"/>
      <c r="E2588" s="394"/>
      <c r="F2588" s="402"/>
      <c r="G2588" s="396"/>
      <c r="H2588" s="395"/>
      <c r="I2588" s="397"/>
      <c r="J2588" s="398"/>
      <c r="K2588" s="403">
        <f t="shared" si="786"/>
        <v>0</v>
      </c>
      <c r="L2588" s="400" t="s">
        <v>755</v>
      </c>
      <c r="M2588" s="30"/>
      <c r="N2588" s="30"/>
      <c r="O2588" s="287">
        <f t="shared" si="787"/>
        <v>0</v>
      </c>
      <c r="P2588" s="287">
        <f t="shared" si="785"/>
        <v>0</v>
      </c>
      <c r="Q2588" s="288"/>
      <c r="R2588" s="243"/>
      <c r="S2588" s="378" t="str">
        <f t="shared" si="776"/>
        <v/>
      </c>
    </row>
    <row r="2589" spans="2:19" hidden="1" x14ac:dyDescent="0.2">
      <c r="B2589" s="800" t="s">
        <v>188</v>
      </c>
      <c r="C2589" s="746" t="s">
        <v>188</v>
      </c>
      <c r="D2589" s="801"/>
      <c r="E2589" s="394"/>
      <c r="F2589" s="402"/>
      <c r="G2589" s="396"/>
      <c r="H2589" s="395"/>
      <c r="I2589" s="397"/>
      <c r="J2589" s="398"/>
      <c r="K2589" s="403">
        <f t="shared" si="786"/>
        <v>0</v>
      </c>
      <c r="L2589" s="400" t="s">
        <v>755</v>
      </c>
      <c r="M2589" s="30"/>
      <c r="N2589" s="30"/>
      <c r="O2589" s="287">
        <f t="shared" si="787"/>
        <v>0</v>
      </c>
      <c r="P2589" s="287">
        <f t="shared" si="785"/>
        <v>0</v>
      </c>
      <c r="Q2589" s="288"/>
      <c r="R2589" s="243"/>
      <c r="S2589" s="378" t="str">
        <f t="shared" si="776"/>
        <v/>
      </c>
    </row>
    <row r="2590" spans="2:19" hidden="1" x14ac:dyDescent="0.2">
      <c r="B2590" s="800" t="s">
        <v>188</v>
      </c>
      <c r="C2590" s="746" t="s">
        <v>188</v>
      </c>
      <c r="D2590" s="801"/>
      <c r="E2590" s="394"/>
      <c r="F2590" s="402"/>
      <c r="G2590" s="396"/>
      <c r="H2590" s="395"/>
      <c r="I2590" s="397"/>
      <c r="J2590" s="398"/>
      <c r="K2590" s="403">
        <f t="shared" si="786"/>
        <v>0</v>
      </c>
      <c r="L2590" s="400" t="s">
        <v>755</v>
      </c>
      <c r="M2590" s="30"/>
      <c r="N2590" s="30"/>
      <c r="O2590" s="287">
        <f t="shared" si="787"/>
        <v>0</v>
      </c>
      <c r="P2590" s="287">
        <f t="shared" si="785"/>
        <v>0</v>
      </c>
      <c r="Q2590" s="288"/>
      <c r="R2590" s="243"/>
      <c r="S2590" s="378" t="str">
        <f t="shared" si="776"/>
        <v/>
      </c>
    </row>
    <row r="2591" spans="2:19" hidden="1" x14ac:dyDescent="0.2">
      <c r="B2591" s="800" t="s">
        <v>188</v>
      </c>
      <c r="C2591" s="746" t="s">
        <v>188</v>
      </c>
      <c r="D2591" s="801"/>
      <c r="E2591" s="394"/>
      <c r="F2591" s="402"/>
      <c r="G2591" s="396"/>
      <c r="H2591" s="395"/>
      <c r="I2591" s="397"/>
      <c r="J2591" s="398"/>
      <c r="K2591" s="403">
        <f t="shared" si="786"/>
        <v>0</v>
      </c>
      <c r="L2591" s="400" t="s">
        <v>755</v>
      </c>
      <c r="M2591" s="30"/>
      <c r="N2591" s="30"/>
      <c r="O2591" s="287">
        <f t="shared" si="787"/>
        <v>0</v>
      </c>
      <c r="P2591" s="287">
        <f t="shared" si="785"/>
        <v>0</v>
      </c>
      <c r="Q2591" s="288"/>
      <c r="R2591" s="243"/>
      <c r="S2591" s="378" t="str">
        <f t="shared" si="776"/>
        <v/>
      </c>
    </row>
    <row r="2592" spans="2:19" hidden="1" x14ac:dyDescent="0.2">
      <c r="B2592" s="800" t="s">
        <v>188</v>
      </c>
      <c r="C2592" s="746" t="s">
        <v>188</v>
      </c>
      <c r="D2592" s="801"/>
      <c r="E2592" s="394"/>
      <c r="F2592" s="402"/>
      <c r="G2592" s="396"/>
      <c r="H2592" s="395"/>
      <c r="I2592" s="397"/>
      <c r="J2592" s="398"/>
      <c r="K2592" s="403">
        <f t="shared" si="786"/>
        <v>0</v>
      </c>
      <c r="L2592" s="400" t="s">
        <v>755</v>
      </c>
      <c r="M2592" s="30"/>
      <c r="N2592" s="30"/>
      <c r="O2592" s="287">
        <f t="shared" si="787"/>
        <v>0</v>
      </c>
      <c r="P2592" s="287">
        <f t="shared" si="785"/>
        <v>0</v>
      </c>
      <c r="Q2592" s="288"/>
      <c r="R2592" s="243"/>
      <c r="S2592" s="378" t="str">
        <f t="shared" si="776"/>
        <v/>
      </c>
    </row>
    <row r="2593" spans="2:19" hidden="1" x14ac:dyDescent="0.2">
      <c r="B2593" s="800" t="s">
        <v>188</v>
      </c>
      <c r="C2593" s="746" t="s">
        <v>188</v>
      </c>
      <c r="D2593" s="801"/>
      <c r="E2593" s="394"/>
      <c r="F2593" s="402"/>
      <c r="G2593" s="396"/>
      <c r="H2593" s="395"/>
      <c r="I2593" s="397"/>
      <c r="J2593" s="398"/>
      <c r="K2593" s="403">
        <f t="shared" si="786"/>
        <v>0</v>
      </c>
      <c r="L2593" s="400" t="s">
        <v>755</v>
      </c>
      <c r="M2593" s="30"/>
      <c r="N2593" s="30"/>
      <c r="O2593" s="287">
        <f t="shared" si="787"/>
        <v>0</v>
      </c>
      <c r="P2593" s="287">
        <f t="shared" si="785"/>
        <v>0</v>
      </c>
      <c r="Q2593" s="288"/>
      <c r="R2593" s="243"/>
      <c r="S2593" s="378" t="str">
        <f t="shared" si="776"/>
        <v/>
      </c>
    </row>
    <row r="2594" spans="2:19" hidden="1" x14ac:dyDescent="0.2">
      <c r="B2594" s="800" t="s">
        <v>188</v>
      </c>
      <c r="C2594" s="746" t="s">
        <v>188</v>
      </c>
      <c r="D2594" s="801"/>
      <c r="E2594" s="394"/>
      <c r="F2594" s="402"/>
      <c r="G2594" s="396"/>
      <c r="H2594" s="395"/>
      <c r="I2594" s="397"/>
      <c r="J2594" s="398"/>
      <c r="K2594" s="403">
        <f t="shared" si="786"/>
        <v>0</v>
      </c>
      <c r="L2594" s="400" t="s">
        <v>755</v>
      </c>
      <c r="M2594" s="30"/>
      <c r="N2594" s="30"/>
      <c r="O2594" s="287">
        <f t="shared" si="787"/>
        <v>0</v>
      </c>
      <c r="P2594" s="287">
        <f t="shared" si="785"/>
        <v>0</v>
      </c>
      <c r="Q2594" s="288"/>
      <c r="R2594" s="243"/>
      <c r="S2594" s="378" t="str">
        <f t="shared" si="776"/>
        <v/>
      </c>
    </row>
    <row r="2595" spans="2:19" hidden="1" x14ac:dyDescent="0.2">
      <c r="B2595" s="800" t="s">
        <v>188</v>
      </c>
      <c r="C2595" s="746" t="s">
        <v>188</v>
      </c>
      <c r="D2595" s="801"/>
      <c r="E2595" s="394"/>
      <c r="F2595" s="402"/>
      <c r="G2595" s="396"/>
      <c r="H2595" s="395"/>
      <c r="I2595" s="397"/>
      <c r="J2595" s="398"/>
      <c r="K2595" s="403">
        <f t="shared" si="786"/>
        <v>0</v>
      </c>
      <c r="L2595" s="400" t="s">
        <v>755</v>
      </c>
      <c r="M2595" s="30"/>
      <c r="N2595" s="30"/>
      <c r="O2595" s="287">
        <f t="shared" si="787"/>
        <v>0</v>
      </c>
      <c r="P2595" s="287">
        <f t="shared" si="785"/>
        <v>0</v>
      </c>
      <c r="Q2595" s="288"/>
      <c r="R2595" s="243"/>
      <c r="S2595" s="378" t="str">
        <f t="shared" si="776"/>
        <v/>
      </c>
    </row>
    <row r="2596" spans="2:19" hidden="1" x14ac:dyDescent="0.2">
      <c r="B2596" s="800" t="s">
        <v>188</v>
      </c>
      <c r="C2596" s="746" t="s">
        <v>188</v>
      </c>
      <c r="D2596" s="801"/>
      <c r="E2596" s="394"/>
      <c r="F2596" s="402"/>
      <c r="G2596" s="396"/>
      <c r="H2596" s="395"/>
      <c r="I2596" s="397"/>
      <c r="J2596" s="398"/>
      <c r="K2596" s="403">
        <f t="shared" si="786"/>
        <v>0</v>
      </c>
      <c r="L2596" s="400" t="s">
        <v>755</v>
      </c>
      <c r="M2596" s="30"/>
      <c r="N2596" s="30"/>
      <c r="O2596" s="287">
        <f t="shared" si="787"/>
        <v>0</v>
      </c>
      <c r="P2596" s="287">
        <f t="shared" si="785"/>
        <v>0</v>
      </c>
      <c r="Q2596" s="288"/>
      <c r="R2596" s="243"/>
      <c r="S2596" s="378" t="str">
        <f t="shared" si="776"/>
        <v/>
      </c>
    </row>
    <row r="2597" spans="2:19" hidden="1" x14ac:dyDescent="0.2">
      <c r="B2597" s="800" t="s">
        <v>188</v>
      </c>
      <c r="C2597" s="746" t="s">
        <v>188</v>
      </c>
      <c r="D2597" s="801"/>
      <c r="E2597" s="394"/>
      <c r="F2597" s="402"/>
      <c r="G2597" s="396"/>
      <c r="H2597" s="395"/>
      <c r="I2597" s="397"/>
      <c r="J2597" s="398"/>
      <c r="K2597" s="403">
        <f t="shared" si="786"/>
        <v>0</v>
      </c>
      <c r="L2597" s="400" t="s">
        <v>755</v>
      </c>
      <c r="M2597" s="30"/>
      <c r="N2597" s="30"/>
      <c r="O2597" s="287">
        <f t="shared" si="787"/>
        <v>0</v>
      </c>
      <c r="P2597" s="287">
        <f t="shared" si="785"/>
        <v>0</v>
      </c>
      <c r="Q2597" s="288"/>
      <c r="R2597" s="243"/>
      <c r="S2597" s="378" t="str">
        <f t="shared" si="776"/>
        <v/>
      </c>
    </row>
    <row r="2598" spans="2:19" hidden="1" x14ac:dyDescent="0.2">
      <c r="B2598" s="800" t="s">
        <v>188</v>
      </c>
      <c r="C2598" s="746" t="s">
        <v>188</v>
      </c>
      <c r="D2598" s="801"/>
      <c r="E2598" s="394"/>
      <c r="F2598" s="402"/>
      <c r="G2598" s="396"/>
      <c r="H2598" s="395"/>
      <c r="I2598" s="397"/>
      <c r="J2598" s="398"/>
      <c r="K2598" s="403">
        <f t="shared" si="786"/>
        <v>0</v>
      </c>
      <c r="L2598" s="400" t="s">
        <v>755</v>
      </c>
      <c r="M2598" s="30"/>
      <c r="N2598" s="30"/>
      <c r="O2598" s="287">
        <f t="shared" si="787"/>
        <v>0</v>
      </c>
      <c r="P2598" s="287">
        <f t="shared" si="785"/>
        <v>0</v>
      </c>
      <c r="Q2598" s="288"/>
      <c r="R2598" s="243"/>
      <c r="S2598" s="378" t="str">
        <f t="shared" si="776"/>
        <v/>
      </c>
    </row>
    <row r="2599" spans="2:19" hidden="1" x14ac:dyDescent="0.2">
      <c r="B2599" s="800" t="s">
        <v>188</v>
      </c>
      <c r="C2599" s="746" t="s">
        <v>188</v>
      </c>
      <c r="D2599" s="801"/>
      <c r="E2599" s="394"/>
      <c r="F2599" s="402"/>
      <c r="G2599" s="396"/>
      <c r="H2599" s="395"/>
      <c r="I2599" s="397"/>
      <c r="J2599" s="398"/>
      <c r="K2599" s="403">
        <f t="shared" si="786"/>
        <v>0</v>
      </c>
      <c r="L2599" s="400" t="s">
        <v>755</v>
      </c>
      <c r="M2599" s="30"/>
      <c r="N2599" s="30"/>
      <c r="O2599" s="287">
        <f t="shared" si="787"/>
        <v>0</v>
      </c>
      <c r="P2599" s="287">
        <f t="shared" si="785"/>
        <v>0</v>
      </c>
      <c r="Q2599" s="288"/>
      <c r="R2599" s="243"/>
      <c r="S2599" s="378" t="str">
        <f t="shared" si="776"/>
        <v/>
      </c>
    </row>
    <row r="2600" spans="2:19" hidden="1" x14ac:dyDescent="0.2">
      <c r="B2600" s="800" t="s">
        <v>188</v>
      </c>
      <c r="C2600" s="746" t="s">
        <v>188</v>
      </c>
      <c r="D2600" s="801"/>
      <c r="E2600" s="394"/>
      <c r="F2600" s="402"/>
      <c r="G2600" s="396"/>
      <c r="H2600" s="395"/>
      <c r="I2600" s="397"/>
      <c r="J2600" s="398"/>
      <c r="K2600" s="403">
        <f t="shared" si="786"/>
        <v>0</v>
      </c>
      <c r="L2600" s="400" t="s">
        <v>755</v>
      </c>
      <c r="M2600" s="30"/>
      <c r="N2600" s="30"/>
      <c r="O2600" s="287">
        <f t="shared" si="787"/>
        <v>0</v>
      </c>
      <c r="P2600" s="287">
        <f t="shared" si="785"/>
        <v>0</v>
      </c>
      <c r="Q2600" s="288"/>
      <c r="R2600" s="243"/>
      <c r="S2600" s="378" t="str">
        <f t="shared" si="776"/>
        <v/>
      </c>
    </row>
    <row r="2601" spans="2:19" hidden="1" x14ac:dyDescent="0.2">
      <c r="B2601" s="800" t="s">
        <v>188</v>
      </c>
      <c r="C2601" s="746" t="s">
        <v>188</v>
      </c>
      <c r="D2601" s="801"/>
      <c r="E2601" s="394"/>
      <c r="F2601" s="402"/>
      <c r="G2601" s="396"/>
      <c r="H2601" s="395"/>
      <c r="I2601" s="397"/>
      <c r="J2601" s="398"/>
      <c r="K2601" s="403">
        <f t="shared" si="786"/>
        <v>0</v>
      </c>
      <c r="L2601" s="400" t="s">
        <v>755</v>
      </c>
      <c r="M2601" s="30"/>
      <c r="N2601" s="30"/>
      <c r="O2601" s="287">
        <f t="shared" si="787"/>
        <v>0</v>
      </c>
      <c r="P2601" s="287">
        <f t="shared" si="785"/>
        <v>0</v>
      </c>
      <c r="Q2601" s="288"/>
      <c r="R2601" s="243"/>
      <c r="S2601" s="378" t="str">
        <f t="shared" si="776"/>
        <v/>
      </c>
    </row>
    <row r="2602" spans="2:19" hidden="1" x14ac:dyDescent="0.2">
      <c r="B2602" s="800" t="s">
        <v>188</v>
      </c>
      <c r="C2602" s="746" t="s">
        <v>188</v>
      </c>
      <c r="D2602" s="801"/>
      <c r="E2602" s="394"/>
      <c r="F2602" s="402"/>
      <c r="G2602" s="396"/>
      <c r="H2602" s="395"/>
      <c r="I2602" s="397"/>
      <c r="J2602" s="398"/>
      <c r="K2602" s="403">
        <f t="shared" si="786"/>
        <v>0</v>
      </c>
      <c r="L2602" s="400" t="s">
        <v>755</v>
      </c>
      <c r="M2602" s="30"/>
      <c r="N2602" s="30"/>
      <c r="O2602" s="287">
        <f t="shared" si="787"/>
        <v>0</v>
      </c>
      <c r="P2602" s="287">
        <f t="shared" si="785"/>
        <v>0</v>
      </c>
      <c r="Q2602" s="288"/>
      <c r="R2602" s="243"/>
      <c r="S2602" s="378" t="str">
        <f t="shared" si="776"/>
        <v/>
      </c>
    </row>
    <row r="2603" spans="2:19" hidden="1" x14ac:dyDescent="0.2">
      <c r="B2603" s="800" t="s">
        <v>188</v>
      </c>
      <c r="C2603" s="746" t="s">
        <v>188</v>
      </c>
      <c r="D2603" s="801"/>
      <c r="E2603" s="394"/>
      <c r="F2603" s="402"/>
      <c r="G2603" s="396"/>
      <c r="H2603" s="395"/>
      <c r="I2603" s="397"/>
      <c r="J2603" s="398"/>
      <c r="K2603" s="403">
        <f t="shared" si="786"/>
        <v>0</v>
      </c>
      <c r="L2603" s="400" t="s">
        <v>755</v>
      </c>
      <c r="M2603" s="30"/>
      <c r="N2603" s="30"/>
      <c r="O2603" s="287">
        <f t="shared" si="787"/>
        <v>0</v>
      </c>
      <c r="P2603" s="287">
        <f t="shared" si="785"/>
        <v>0</v>
      </c>
      <c r="Q2603" s="288"/>
      <c r="R2603" s="243"/>
      <c r="S2603" s="378" t="str">
        <f t="shared" si="776"/>
        <v/>
      </c>
    </row>
    <row r="2604" spans="2:19" hidden="1" x14ac:dyDescent="0.2">
      <c r="B2604" s="800" t="s">
        <v>188</v>
      </c>
      <c r="C2604" s="746" t="s">
        <v>188</v>
      </c>
      <c r="D2604" s="801"/>
      <c r="E2604" s="394"/>
      <c r="F2604" s="402"/>
      <c r="G2604" s="396"/>
      <c r="H2604" s="395"/>
      <c r="I2604" s="397"/>
      <c r="J2604" s="398"/>
      <c r="K2604" s="403">
        <f t="shared" si="786"/>
        <v>0</v>
      </c>
      <c r="L2604" s="400" t="s">
        <v>755</v>
      </c>
      <c r="M2604" s="30"/>
      <c r="N2604" s="30"/>
      <c r="O2604" s="287">
        <f t="shared" si="787"/>
        <v>0</v>
      </c>
      <c r="P2604" s="287">
        <f t="shared" si="785"/>
        <v>0</v>
      </c>
      <c r="Q2604" s="288"/>
      <c r="R2604" s="243"/>
      <c r="S2604" s="378" t="str">
        <f t="shared" si="776"/>
        <v/>
      </c>
    </row>
    <row r="2605" spans="2:19" hidden="1" x14ac:dyDescent="0.2">
      <c r="B2605" s="800" t="s">
        <v>188</v>
      </c>
      <c r="C2605" s="746" t="s">
        <v>188</v>
      </c>
      <c r="D2605" s="801"/>
      <c r="E2605" s="394"/>
      <c r="F2605" s="402"/>
      <c r="G2605" s="396"/>
      <c r="H2605" s="395"/>
      <c r="I2605" s="397"/>
      <c r="J2605" s="398"/>
      <c r="K2605" s="403">
        <f t="shared" si="786"/>
        <v>0</v>
      </c>
      <c r="L2605" s="400" t="s">
        <v>755</v>
      </c>
      <c r="M2605" s="30"/>
      <c r="N2605" s="30"/>
      <c r="O2605" s="287">
        <f t="shared" si="787"/>
        <v>0</v>
      </c>
      <c r="P2605" s="287">
        <f t="shared" si="785"/>
        <v>0</v>
      </c>
      <c r="Q2605" s="288"/>
      <c r="R2605" s="243"/>
      <c r="S2605" s="378" t="str">
        <f t="shared" si="776"/>
        <v/>
      </c>
    </row>
    <row r="2606" spans="2:19" hidden="1" x14ac:dyDescent="0.2">
      <c r="B2606" s="800" t="s">
        <v>188</v>
      </c>
      <c r="C2606" s="746" t="s">
        <v>188</v>
      </c>
      <c r="D2606" s="801"/>
      <c r="E2606" s="394"/>
      <c r="F2606" s="402"/>
      <c r="G2606" s="396"/>
      <c r="H2606" s="395"/>
      <c r="I2606" s="397"/>
      <c r="J2606" s="398"/>
      <c r="K2606" s="403">
        <f t="shared" si="786"/>
        <v>0</v>
      </c>
      <c r="L2606" s="400" t="s">
        <v>755</v>
      </c>
      <c r="M2606" s="30"/>
      <c r="N2606" s="30"/>
      <c r="O2606" s="287">
        <f t="shared" si="787"/>
        <v>0</v>
      </c>
      <c r="P2606" s="287">
        <f t="shared" si="785"/>
        <v>0</v>
      </c>
      <c r="Q2606" s="288"/>
      <c r="R2606" s="243"/>
      <c r="S2606" s="378" t="str">
        <f t="shared" si="776"/>
        <v/>
      </c>
    </row>
    <row r="2607" spans="2:19" hidden="1" x14ac:dyDescent="0.2">
      <c r="B2607" s="800" t="s">
        <v>188</v>
      </c>
      <c r="C2607" s="746" t="s">
        <v>188</v>
      </c>
      <c r="D2607" s="801"/>
      <c r="E2607" s="394"/>
      <c r="F2607" s="402"/>
      <c r="G2607" s="396"/>
      <c r="H2607" s="395"/>
      <c r="I2607" s="397"/>
      <c r="J2607" s="398"/>
      <c r="K2607" s="403">
        <f t="shared" si="786"/>
        <v>0</v>
      </c>
      <c r="L2607" s="400" t="s">
        <v>755</v>
      </c>
      <c r="M2607" s="30"/>
      <c r="N2607" s="30"/>
      <c r="O2607" s="287">
        <f t="shared" si="787"/>
        <v>0</v>
      </c>
      <c r="P2607" s="287">
        <f t="shared" si="785"/>
        <v>0</v>
      </c>
      <c r="Q2607" s="288"/>
      <c r="R2607" s="243"/>
      <c r="S2607" s="378" t="str">
        <f t="shared" si="776"/>
        <v/>
      </c>
    </row>
    <row r="2608" spans="2:19" hidden="1" x14ac:dyDescent="0.2">
      <c r="B2608" s="800" t="s">
        <v>188</v>
      </c>
      <c r="C2608" s="746" t="s">
        <v>188</v>
      </c>
      <c r="D2608" s="801"/>
      <c r="E2608" s="394"/>
      <c r="F2608" s="402"/>
      <c r="G2608" s="396"/>
      <c r="H2608" s="395"/>
      <c r="I2608" s="397"/>
      <c r="J2608" s="398"/>
      <c r="K2608" s="403">
        <f t="shared" si="786"/>
        <v>0</v>
      </c>
      <c r="L2608" s="400" t="s">
        <v>755</v>
      </c>
      <c r="M2608" s="30"/>
      <c r="N2608" s="30"/>
      <c r="O2608" s="287">
        <f t="shared" si="787"/>
        <v>0</v>
      </c>
      <c r="P2608" s="287">
        <f t="shared" si="785"/>
        <v>0</v>
      </c>
      <c r="Q2608" s="288"/>
      <c r="R2608" s="243"/>
      <c r="S2608" s="378" t="str">
        <f t="shared" si="776"/>
        <v/>
      </c>
    </row>
    <row r="2609" spans="2:19" ht="13.5" hidden="1" thickBot="1" x14ac:dyDescent="0.25">
      <c r="B2609" s="800" t="s">
        <v>188</v>
      </c>
      <c r="C2609" s="746" t="s">
        <v>188</v>
      </c>
      <c r="D2609" s="801"/>
      <c r="E2609" s="394"/>
      <c r="F2609" s="402"/>
      <c r="G2609" s="396"/>
      <c r="H2609" s="395"/>
      <c r="I2609" s="397"/>
      <c r="J2609" s="398"/>
      <c r="K2609" s="403">
        <f t="shared" si="786"/>
        <v>0</v>
      </c>
      <c r="L2609" s="400" t="s">
        <v>755</v>
      </c>
      <c r="M2609" s="30"/>
      <c r="N2609" s="30"/>
      <c r="O2609" s="287">
        <f t="shared" si="787"/>
        <v>0</v>
      </c>
      <c r="P2609" s="287">
        <f t="shared" si="785"/>
        <v>0</v>
      </c>
      <c r="Q2609" s="288"/>
      <c r="R2609" s="243"/>
      <c r="S2609" s="378" t="str">
        <f t="shared" si="776"/>
        <v/>
      </c>
    </row>
    <row r="2610" spans="2:19" ht="51.75" hidden="1" thickBot="1" x14ac:dyDescent="0.25">
      <c r="B2610" s="802" t="s">
        <v>736</v>
      </c>
      <c r="C2610" s="636"/>
      <c r="D2610" s="416" t="s">
        <v>1918</v>
      </c>
      <c r="E2610" s="414"/>
      <c r="F2610" s="803"/>
      <c r="G2610" s="374"/>
      <c r="H2610" s="375"/>
      <c r="I2610" s="376"/>
      <c r="J2610" s="376"/>
      <c r="K2610" s="376"/>
      <c r="L2610" s="376" t="s">
        <v>755</v>
      </c>
      <c r="M2610" s="375"/>
      <c r="N2610" s="376"/>
      <c r="O2610" s="376"/>
      <c r="P2610" s="294"/>
      <c r="Q2610" s="295">
        <f>SUM(P2611:P2655)</f>
        <v>0</v>
      </c>
      <c r="R2610" s="377" t="str">
        <f>IF(Q2610&gt;0,"X","")</f>
        <v/>
      </c>
      <c r="S2610" s="378" t="str">
        <f t="shared" si="776"/>
        <v/>
      </c>
    </row>
    <row r="2611" spans="2:19" s="244" customFormat="1" hidden="1" x14ac:dyDescent="0.2">
      <c r="B2611" s="708" t="s">
        <v>783</v>
      </c>
      <c r="C2611" s="596" t="s">
        <v>753</v>
      </c>
      <c r="D2611" s="383" t="s">
        <v>737</v>
      </c>
      <c r="E2611" s="704"/>
      <c r="F2611" s="661">
        <v>0</v>
      </c>
      <c r="G2611" s="665">
        <v>0</v>
      </c>
      <c r="H2611" s="664">
        <v>0</v>
      </c>
      <c r="I2611" s="380">
        <v>116.98</v>
      </c>
      <c r="J2611" s="380">
        <f>IF(ISBLANK(I2611),"",SUM(H2611:I2611))</f>
        <v>116.98</v>
      </c>
      <c r="K2611" s="593">
        <f t="shared" ref="K2611:K2623" si="788">IF(ISBLANK(I2611),0,ROUND(J2611*(1+$F$10)*(1+$F$11*E2611),2))</f>
        <v>148.27000000000001</v>
      </c>
      <c r="L2611" s="594" t="s">
        <v>21</v>
      </c>
      <c r="M2611" s="30"/>
      <c r="N2611" s="30"/>
      <c r="O2611" s="287">
        <f t="shared" ref="O2611:O2623" si="789">IF(ISBLANK(M2611),0,ROUND(K2611*M2611,2))</f>
        <v>0</v>
      </c>
      <c r="P2611" s="287">
        <f t="shared" ref="P2611:P2623" si="790">IF(ISBLANK(N2611),0,ROUND(M2611*N2611,2))</f>
        <v>0</v>
      </c>
      <c r="Q2611" s="288"/>
      <c r="R2611" s="243"/>
      <c r="S2611" s="378" t="str">
        <f t="shared" si="776"/>
        <v/>
      </c>
    </row>
    <row r="2612" spans="2:19" s="244" customFormat="1" hidden="1" x14ac:dyDescent="0.2">
      <c r="B2612" s="708" t="s">
        <v>783</v>
      </c>
      <c r="C2612" s="596" t="s">
        <v>753</v>
      </c>
      <c r="D2612" s="383" t="s">
        <v>738</v>
      </c>
      <c r="E2612" s="704"/>
      <c r="F2612" s="661">
        <v>0</v>
      </c>
      <c r="G2612" s="665">
        <v>0</v>
      </c>
      <c r="H2612" s="664">
        <v>0</v>
      </c>
      <c r="I2612" s="380">
        <v>116.98</v>
      </c>
      <c r="J2612" s="380">
        <f t="shared" ref="J2612:J2619" si="791">IF(ISBLANK(I2612),"",SUM(H2612:I2612))</f>
        <v>116.98</v>
      </c>
      <c r="K2612" s="593">
        <f t="shared" si="788"/>
        <v>148.27000000000001</v>
      </c>
      <c r="L2612" s="594" t="s">
        <v>21</v>
      </c>
      <c r="M2612" s="30"/>
      <c r="N2612" s="30"/>
      <c r="O2612" s="287">
        <f t="shared" si="789"/>
        <v>0</v>
      </c>
      <c r="P2612" s="287">
        <f t="shared" si="790"/>
        <v>0</v>
      </c>
      <c r="Q2612" s="288"/>
      <c r="R2612" s="243"/>
      <c r="S2612" s="378" t="str">
        <f t="shared" si="776"/>
        <v/>
      </c>
    </row>
    <row r="2613" spans="2:19" s="244" customFormat="1" ht="25.5" hidden="1" x14ac:dyDescent="0.2">
      <c r="B2613" s="708" t="s">
        <v>783</v>
      </c>
      <c r="C2613" s="596" t="s">
        <v>753</v>
      </c>
      <c r="D2613" s="383" t="s">
        <v>739</v>
      </c>
      <c r="E2613" s="704"/>
      <c r="F2613" s="661">
        <v>0</v>
      </c>
      <c r="G2613" s="665"/>
      <c r="H2613" s="664"/>
      <c r="I2613" s="380">
        <v>116.98</v>
      </c>
      <c r="J2613" s="380">
        <f t="shared" si="791"/>
        <v>116.98</v>
      </c>
      <c r="K2613" s="593">
        <f t="shared" ref="K2613" si="792">IF(ISBLANK(I2613),0,ROUND(J2613*(1+$F$10)*(1+$F$11*E2613),2))</f>
        <v>148.27000000000001</v>
      </c>
      <c r="L2613" s="594" t="s">
        <v>21</v>
      </c>
      <c r="M2613" s="30"/>
      <c r="N2613" s="30"/>
      <c r="O2613" s="287">
        <f t="shared" ref="O2613" si="793">IF(ISBLANK(M2613),0,ROUND(K2613*M2613,2))</f>
        <v>0</v>
      </c>
      <c r="P2613" s="287">
        <f t="shared" ref="P2613" si="794">IF(ISBLANK(N2613),0,ROUND(M2613*N2613,2))</f>
        <v>0</v>
      </c>
      <c r="Q2613" s="288"/>
      <c r="R2613" s="243"/>
      <c r="S2613" s="378" t="str">
        <f t="shared" si="776"/>
        <v/>
      </c>
    </row>
    <row r="2614" spans="2:19" s="244" customFormat="1" hidden="1" x14ac:dyDescent="0.2">
      <c r="B2614" s="708" t="s">
        <v>783</v>
      </c>
      <c r="C2614" s="596" t="s">
        <v>753</v>
      </c>
      <c r="D2614" s="383" t="s">
        <v>740</v>
      </c>
      <c r="E2614" s="704"/>
      <c r="F2614" s="661">
        <v>0</v>
      </c>
      <c r="G2614" s="665"/>
      <c r="H2614" s="664"/>
      <c r="I2614" s="380">
        <v>116.98</v>
      </c>
      <c r="J2614" s="380">
        <f t="shared" si="791"/>
        <v>116.98</v>
      </c>
      <c r="K2614" s="593">
        <f t="shared" si="788"/>
        <v>148.27000000000001</v>
      </c>
      <c r="L2614" s="594" t="s">
        <v>21</v>
      </c>
      <c r="M2614" s="30"/>
      <c r="N2614" s="30"/>
      <c r="O2614" s="287">
        <f t="shared" si="789"/>
        <v>0</v>
      </c>
      <c r="P2614" s="287">
        <f t="shared" si="790"/>
        <v>0</v>
      </c>
      <c r="Q2614" s="288"/>
      <c r="R2614" s="243"/>
      <c r="S2614" s="378" t="str">
        <f t="shared" si="776"/>
        <v/>
      </c>
    </row>
    <row r="2615" spans="2:19" s="244" customFormat="1" hidden="1" x14ac:dyDescent="0.2">
      <c r="B2615" s="708" t="s">
        <v>784</v>
      </c>
      <c r="C2615" s="596" t="s">
        <v>753</v>
      </c>
      <c r="D2615" s="383" t="s">
        <v>741</v>
      </c>
      <c r="E2615" s="704"/>
      <c r="F2615" s="661"/>
      <c r="G2615" s="665"/>
      <c r="H2615" s="664"/>
      <c r="I2615" s="380">
        <v>119.27</v>
      </c>
      <c r="J2615" s="380">
        <f t="shared" si="791"/>
        <v>119.27</v>
      </c>
      <c r="K2615" s="593">
        <f t="shared" si="788"/>
        <v>151.16999999999999</v>
      </c>
      <c r="L2615" s="594" t="s">
        <v>21</v>
      </c>
      <c r="M2615" s="30"/>
      <c r="N2615" s="30"/>
      <c r="O2615" s="287">
        <f t="shared" si="789"/>
        <v>0</v>
      </c>
      <c r="P2615" s="287">
        <f t="shared" si="790"/>
        <v>0</v>
      </c>
      <c r="Q2615" s="288"/>
      <c r="R2615" s="243"/>
      <c r="S2615" s="378" t="str">
        <f t="shared" si="776"/>
        <v/>
      </c>
    </row>
    <row r="2616" spans="2:19" s="244" customFormat="1" hidden="1" x14ac:dyDescent="0.2">
      <c r="B2616" s="708" t="s">
        <v>742</v>
      </c>
      <c r="C2616" s="596" t="s">
        <v>785</v>
      </c>
      <c r="D2616" s="417" t="s">
        <v>743</v>
      </c>
      <c r="E2616" s="704"/>
      <c r="F2616" s="661"/>
      <c r="G2616" s="665"/>
      <c r="H2616" s="664"/>
      <c r="I2616" s="380">
        <v>78.64</v>
      </c>
      <c r="J2616" s="380">
        <f t="shared" si="791"/>
        <v>78.64</v>
      </c>
      <c r="K2616" s="593">
        <f t="shared" si="788"/>
        <v>99.68</v>
      </c>
      <c r="L2616" s="594" t="s">
        <v>21</v>
      </c>
      <c r="M2616" s="30"/>
      <c r="N2616" s="30"/>
      <c r="O2616" s="287">
        <f t="shared" si="789"/>
        <v>0</v>
      </c>
      <c r="P2616" s="287">
        <f t="shared" si="790"/>
        <v>0</v>
      </c>
      <c r="Q2616" s="288"/>
      <c r="R2616" s="243"/>
      <c r="S2616" s="378" t="str">
        <f t="shared" si="776"/>
        <v/>
      </c>
    </row>
    <row r="2617" spans="2:19" s="244" customFormat="1" hidden="1" x14ac:dyDescent="0.2">
      <c r="B2617" s="708" t="s">
        <v>744</v>
      </c>
      <c r="C2617" s="596" t="s">
        <v>785</v>
      </c>
      <c r="D2617" s="417" t="s">
        <v>745</v>
      </c>
      <c r="E2617" s="704"/>
      <c r="F2617" s="661"/>
      <c r="G2617" s="665"/>
      <c r="H2617" s="664"/>
      <c r="I2617" s="380">
        <v>46.05</v>
      </c>
      <c r="J2617" s="380">
        <f t="shared" si="791"/>
        <v>46.05</v>
      </c>
      <c r="K2617" s="593">
        <f t="shared" si="788"/>
        <v>58.37</v>
      </c>
      <c r="L2617" s="594" t="s">
        <v>21</v>
      </c>
      <c r="M2617" s="30"/>
      <c r="N2617" s="30"/>
      <c r="O2617" s="287">
        <f t="shared" si="789"/>
        <v>0</v>
      </c>
      <c r="P2617" s="287">
        <f t="shared" si="790"/>
        <v>0</v>
      </c>
      <c r="Q2617" s="288"/>
      <c r="R2617" s="243"/>
      <c r="S2617" s="378" t="str">
        <f t="shared" si="776"/>
        <v/>
      </c>
    </row>
    <row r="2618" spans="2:19" s="244" customFormat="1" hidden="1" x14ac:dyDescent="0.2">
      <c r="B2618" s="708" t="s">
        <v>822</v>
      </c>
      <c r="C2618" s="596" t="s">
        <v>753</v>
      </c>
      <c r="D2618" s="417" t="s">
        <v>746</v>
      </c>
      <c r="E2618" s="704"/>
      <c r="F2618" s="661"/>
      <c r="G2618" s="665"/>
      <c r="H2618" s="664"/>
      <c r="I2618" s="380">
        <v>141.66</v>
      </c>
      <c r="J2618" s="380">
        <f t="shared" si="791"/>
        <v>141.66</v>
      </c>
      <c r="K2618" s="593">
        <f t="shared" si="788"/>
        <v>179.55</v>
      </c>
      <c r="L2618" s="594" t="s">
        <v>21</v>
      </c>
      <c r="M2618" s="30"/>
      <c r="N2618" s="30"/>
      <c r="O2618" s="287">
        <f t="shared" si="789"/>
        <v>0</v>
      </c>
      <c r="P2618" s="287">
        <f t="shared" si="790"/>
        <v>0</v>
      </c>
      <c r="Q2618" s="288"/>
      <c r="R2618" s="243"/>
      <c r="S2618" s="378" t="str">
        <f t="shared" si="776"/>
        <v/>
      </c>
    </row>
    <row r="2619" spans="2:19" s="244" customFormat="1" hidden="1" x14ac:dyDescent="0.2">
      <c r="B2619" s="708" t="s">
        <v>747</v>
      </c>
      <c r="C2619" s="596" t="s">
        <v>785</v>
      </c>
      <c r="D2619" s="383" t="s">
        <v>748</v>
      </c>
      <c r="E2619" s="704"/>
      <c r="F2619" s="661"/>
      <c r="G2619" s="665"/>
      <c r="H2619" s="664"/>
      <c r="I2619" s="380">
        <v>82.87</v>
      </c>
      <c r="J2619" s="380">
        <f t="shared" si="791"/>
        <v>82.87</v>
      </c>
      <c r="K2619" s="593">
        <f t="shared" si="788"/>
        <v>105.04</v>
      </c>
      <c r="L2619" s="594" t="s">
        <v>21</v>
      </c>
      <c r="M2619" s="30"/>
      <c r="N2619" s="30"/>
      <c r="O2619" s="287">
        <f t="shared" si="789"/>
        <v>0</v>
      </c>
      <c r="P2619" s="287">
        <f t="shared" si="790"/>
        <v>0</v>
      </c>
      <c r="Q2619" s="288"/>
      <c r="R2619" s="243"/>
      <c r="S2619" s="378" t="str">
        <f t="shared" si="776"/>
        <v/>
      </c>
    </row>
    <row r="2620" spans="2:19" s="244" customFormat="1" hidden="1" x14ac:dyDescent="0.2">
      <c r="B2620" s="708" t="s">
        <v>749</v>
      </c>
      <c r="C2620" s="596" t="s">
        <v>785</v>
      </c>
      <c r="D2620" s="383" t="s">
        <v>750</v>
      </c>
      <c r="E2620" s="704"/>
      <c r="F2620" s="661"/>
      <c r="G2620" s="665"/>
      <c r="H2620" s="664"/>
      <c r="I2620" s="380">
        <v>67.53</v>
      </c>
      <c r="J2620" s="380">
        <f t="shared" ref="J2620" si="795">IF(ISBLANK(I2620),"",SUM(H2620:I2620))</f>
        <v>67.53</v>
      </c>
      <c r="K2620" s="593">
        <f t="shared" si="788"/>
        <v>85.59</v>
      </c>
      <c r="L2620" s="594" t="s">
        <v>21</v>
      </c>
      <c r="M2620" s="30"/>
      <c r="N2620" s="30"/>
      <c r="O2620" s="287">
        <f t="shared" si="789"/>
        <v>0</v>
      </c>
      <c r="P2620" s="287">
        <f t="shared" si="790"/>
        <v>0</v>
      </c>
      <c r="Q2620" s="288"/>
      <c r="R2620" s="243"/>
      <c r="S2620" s="378" t="str">
        <f t="shared" si="776"/>
        <v/>
      </c>
    </row>
    <row r="2621" spans="2:19" s="244" customFormat="1" hidden="1" x14ac:dyDescent="0.2">
      <c r="B2621" s="708" t="s">
        <v>1709</v>
      </c>
      <c r="C2621" s="596" t="s">
        <v>785</v>
      </c>
      <c r="D2621" s="383" t="s">
        <v>1919</v>
      </c>
      <c r="E2621" s="704"/>
      <c r="F2621" s="661"/>
      <c r="G2621" s="665"/>
      <c r="H2621" s="664"/>
      <c r="I2621" s="380">
        <v>182.39</v>
      </c>
      <c r="J2621" s="380">
        <f t="shared" ref="J2621:J2623" si="796">IF(ISBLANK(I2621),"",SUM(H2621:I2621))</f>
        <v>182.39</v>
      </c>
      <c r="K2621" s="593">
        <f t="shared" si="788"/>
        <v>231.18</v>
      </c>
      <c r="L2621" s="594" t="s">
        <v>21</v>
      </c>
      <c r="M2621" s="30"/>
      <c r="N2621" s="30"/>
      <c r="O2621" s="287">
        <f t="shared" si="789"/>
        <v>0</v>
      </c>
      <c r="P2621" s="287">
        <f t="shared" si="790"/>
        <v>0</v>
      </c>
      <c r="Q2621" s="288"/>
      <c r="R2621" s="243"/>
      <c r="S2621" s="378" t="str">
        <f t="shared" ref="S2621:S2671" si="797">IF(R2621="x","x",IF(R2621="y","x",IF(R2621="xy","x",IF(P2621&gt;0,"x",""))))</f>
        <v/>
      </c>
    </row>
    <row r="2622" spans="2:19" s="244" customFormat="1" hidden="1" x14ac:dyDescent="0.2">
      <c r="B2622" s="723" t="s">
        <v>787</v>
      </c>
      <c r="C2622" s="596" t="s">
        <v>753</v>
      </c>
      <c r="D2622" s="383" t="s">
        <v>1920</v>
      </c>
      <c r="E2622" s="704"/>
      <c r="F2622" s="661"/>
      <c r="G2622" s="665"/>
      <c r="H2622" s="664"/>
      <c r="I2622" s="380">
        <v>110.45</v>
      </c>
      <c r="J2622" s="380">
        <f t="shared" si="796"/>
        <v>110.45</v>
      </c>
      <c r="K2622" s="593">
        <f t="shared" si="788"/>
        <v>140</v>
      </c>
      <c r="L2622" s="594" t="s">
        <v>21</v>
      </c>
      <c r="M2622" s="30"/>
      <c r="N2622" s="30"/>
      <c r="O2622" s="287">
        <f t="shared" si="789"/>
        <v>0</v>
      </c>
      <c r="P2622" s="287">
        <f t="shared" si="790"/>
        <v>0</v>
      </c>
      <c r="Q2622" s="288"/>
      <c r="R2622" s="243"/>
      <c r="S2622" s="378" t="str">
        <f t="shared" si="797"/>
        <v/>
      </c>
    </row>
    <row r="2623" spans="2:19" s="244" customFormat="1" hidden="1" x14ac:dyDescent="0.2">
      <c r="B2623" s="708" t="s">
        <v>786</v>
      </c>
      <c r="C2623" s="596" t="s">
        <v>753</v>
      </c>
      <c r="D2623" s="383" t="s">
        <v>1921</v>
      </c>
      <c r="E2623" s="704"/>
      <c r="F2623" s="661"/>
      <c r="G2623" s="665"/>
      <c r="H2623" s="663"/>
      <c r="I2623" s="380">
        <v>4850.2</v>
      </c>
      <c r="J2623" s="380">
        <f t="shared" si="796"/>
        <v>4850.2</v>
      </c>
      <c r="K2623" s="593">
        <f t="shared" si="788"/>
        <v>6147.63</v>
      </c>
      <c r="L2623" s="594" t="s">
        <v>752</v>
      </c>
      <c r="M2623" s="30"/>
      <c r="N2623" s="30"/>
      <c r="O2623" s="287">
        <f t="shared" si="789"/>
        <v>0</v>
      </c>
      <c r="P2623" s="287">
        <f t="shared" si="790"/>
        <v>0</v>
      </c>
      <c r="Q2623" s="288"/>
      <c r="R2623" s="243"/>
      <c r="S2623" s="378" t="str">
        <f t="shared" si="797"/>
        <v/>
      </c>
    </row>
    <row r="2624" spans="2:19" hidden="1" x14ac:dyDescent="0.2">
      <c r="B2624" s="608" t="s">
        <v>188</v>
      </c>
      <c r="C2624" s="638"/>
      <c r="D2624" s="386" t="s">
        <v>751</v>
      </c>
      <c r="E2624" s="387"/>
      <c r="F2624" s="388"/>
      <c r="G2624" s="389"/>
      <c r="H2624" s="390"/>
      <c r="I2624" s="391"/>
      <c r="J2624" s="391"/>
      <c r="K2624" s="391"/>
      <c r="L2624" s="391" t="s">
        <v>755</v>
      </c>
      <c r="M2624" s="390"/>
      <c r="N2624" s="391"/>
      <c r="O2624" s="391"/>
      <c r="P2624" s="392"/>
      <c r="Q2624" s="288"/>
      <c r="R2624" s="377" t="str">
        <f>IF(SUM(P2625:P2655)&gt;0,"y","")</f>
        <v/>
      </c>
      <c r="S2624" s="378" t="str">
        <f t="shared" si="797"/>
        <v/>
      </c>
    </row>
    <row r="2625" spans="2:19" hidden="1" x14ac:dyDescent="0.2">
      <c r="B2625" s="609" t="s">
        <v>188</v>
      </c>
      <c r="C2625" s="746" t="s">
        <v>188</v>
      </c>
      <c r="D2625" s="393"/>
      <c r="E2625" s="394"/>
      <c r="F2625" s="402"/>
      <c r="G2625" s="396"/>
      <c r="H2625" s="395"/>
      <c r="I2625" s="397"/>
      <c r="J2625" s="398"/>
      <c r="K2625" s="399">
        <f t="shared" ref="K2625:K2655" si="798">IF(ISBLANK(J2625),0,ROUND(J2625*(1+$F$10)*(1+$F$11*E2625),2))</f>
        <v>0</v>
      </c>
      <c r="L2625" s="400" t="s">
        <v>755</v>
      </c>
      <c r="M2625" s="415"/>
      <c r="N2625" s="415"/>
      <c r="O2625" s="287">
        <f t="shared" ref="O2625" si="799">IF(ISBLANK(M2625),0,ROUND(K2625*M2625,2))</f>
        <v>0</v>
      </c>
      <c r="P2625" s="384">
        <f t="shared" ref="P2625:P2655" si="800">IF(ISBLANK(N2625),0,ROUND(M2625*N2625,2))</f>
        <v>0</v>
      </c>
      <c r="Q2625" s="288"/>
      <c r="R2625" s="243"/>
      <c r="S2625" s="378" t="str">
        <f t="shared" si="797"/>
        <v/>
      </c>
    </row>
    <row r="2626" spans="2:19" hidden="1" x14ac:dyDescent="0.2">
      <c r="B2626" s="609" t="s">
        <v>188</v>
      </c>
      <c r="C2626" s="746" t="s">
        <v>188</v>
      </c>
      <c r="D2626" s="393"/>
      <c r="E2626" s="394"/>
      <c r="F2626" s="402"/>
      <c r="G2626" s="396"/>
      <c r="H2626" s="395"/>
      <c r="I2626" s="397"/>
      <c r="J2626" s="398"/>
      <c r="K2626" s="403">
        <f t="shared" si="798"/>
        <v>0</v>
      </c>
      <c r="L2626" s="400" t="s">
        <v>755</v>
      </c>
      <c r="M2626" s="30"/>
      <c r="N2626" s="30"/>
      <c r="O2626" s="287">
        <f>IF(ISBLANK(M2626),0,ROUND(K2626*M2626,2))</f>
        <v>0</v>
      </c>
      <c r="P2626" s="287">
        <f t="shared" si="800"/>
        <v>0</v>
      </c>
      <c r="Q2626" s="288"/>
      <c r="R2626" s="243"/>
      <c r="S2626" s="378" t="str">
        <f t="shared" si="797"/>
        <v/>
      </c>
    </row>
    <row r="2627" spans="2:19" hidden="1" x14ac:dyDescent="0.2">
      <c r="B2627" s="609" t="s">
        <v>188</v>
      </c>
      <c r="C2627" s="746" t="s">
        <v>188</v>
      </c>
      <c r="D2627" s="401"/>
      <c r="E2627" s="394"/>
      <c r="F2627" s="402"/>
      <c r="G2627" s="396"/>
      <c r="H2627" s="395"/>
      <c r="I2627" s="397"/>
      <c r="J2627" s="398"/>
      <c r="K2627" s="403">
        <f t="shared" si="798"/>
        <v>0</v>
      </c>
      <c r="L2627" s="400" t="s">
        <v>755</v>
      </c>
      <c r="M2627" s="30"/>
      <c r="N2627" s="30"/>
      <c r="O2627" s="287">
        <f t="shared" ref="O2627:O2655" si="801">IF(ISBLANK(M2627),0,ROUND(K2627*M2627,2))</f>
        <v>0</v>
      </c>
      <c r="P2627" s="287">
        <f t="shared" si="800"/>
        <v>0</v>
      </c>
      <c r="Q2627" s="288"/>
      <c r="R2627" s="243"/>
      <c r="S2627" s="378" t="str">
        <f t="shared" si="797"/>
        <v/>
      </c>
    </row>
    <row r="2628" spans="2:19" hidden="1" x14ac:dyDescent="0.2">
      <c r="B2628" s="609" t="s">
        <v>188</v>
      </c>
      <c r="C2628" s="746" t="s">
        <v>188</v>
      </c>
      <c r="D2628" s="401"/>
      <c r="E2628" s="394"/>
      <c r="F2628" s="402"/>
      <c r="G2628" s="396"/>
      <c r="H2628" s="395"/>
      <c r="I2628" s="397"/>
      <c r="J2628" s="398"/>
      <c r="K2628" s="403">
        <f t="shared" si="798"/>
        <v>0</v>
      </c>
      <c r="L2628" s="400" t="s">
        <v>755</v>
      </c>
      <c r="M2628" s="30"/>
      <c r="N2628" s="30"/>
      <c r="O2628" s="287">
        <f t="shared" si="801"/>
        <v>0</v>
      </c>
      <c r="P2628" s="287">
        <f t="shared" si="800"/>
        <v>0</v>
      </c>
      <c r="Q2628" s="288"/>
      <c r="R2628" s="243"/>
      <c r="S2628" s="378" t="str">
        <f t="shared" si="797"/>
        <v/>
      </c>
    </row>
    <row r="2629" spans="2:19" hidden="1" x14ac:dyDescent="0.2">
      <c r="B2629" s="609" t="s">
        <v>188</v>
      </c>
      <c r="C2629" s="746" t="s">
        <v>188</v>
      </c>
      <c r="D2629" s="401"/>
      <c r="E2629" s="394"/>
      <c r="F2629" s="402"/>
      <c r="G2629" s="396"/>
      <c r="H2629" s="395"/>
      <c r="I2629" s="397"/>
      <c r="J2629" s="398"/>
      <c r="K2629" s="403">
        <f t="shared" si="798"/>
        <v>0</v>
      </c>
      <c r="L2629" s="400" t="s">
        <v>755</v>
      </c>
      <c r="M2629" s="30"/>
      <c r="N2629" s="30"/>
      <c r="O2629" s="287">
        <f t="shared" si="801"/>
        <v>0</v>
      </c>
      <c r="P2629" s="287">
        <f t="shared" si="800"/>
        <v>0</v>
      </c>
      <c r="Q2629" s="288"/>
      <c r="R2629" s="243"/>
      <c r="S2629" s="378" t="str">
        <f t="shared" si="797"/>
        <v/>
      </c>
    </row>
    <row r="2630" spans="2:19" hidden="1" x14ac:dyDescent="0.2">
      <c r="B2630" s="609" t="s">
        <v>188</v>
      </c>
      <c r="C2630" s="746" t="s">
        <v>188</v>
      </c>
      <c r="D2630" s="401"/>
      <c r="E2630" s="394"/>
      <c r="F2630" s="402"/>
      <c r="G2630" s="396"/>
      <c r="H2630" s="395"/>
      <c r="I2630" s="397"/>
      <c r="J2630" s="398"/>
      <c r="K2630" s="403">
        <f t="shared" si="798"/>
        <v>0</v>
      </c>
      <c r="L2630" s="400" t="s">
        <v>755</v>
      </c>
      <c r="M2630" s="30"/>
      <c r="N2630" s="30"/>
      <c r="O2630" s="287">
        <f t="shared" si="801"/>
        <v>0</v>
      </c>
      <c r="P2630" s="287">
        <f t="shared" si="800"/>
        <v>0</v>
      </c>
      <c r="Q2630" s="288"/>
      <c r="R2630" s="243"/>
      <c r="S2630" s="378" t="str">
        <f t="shared" si="797"/>
        <v/>
      </c>
    </row>
    <row r="2631" spans="2:19" hidden="1" x14ac:dyDescent="0.2">
      <c r="B2631" s="609" t="s">
        <v>188</v>
      </c>
      <c r="C2631" s="746" t="s">
        <v>188</v>
      </c>
      <c r="D2631" s="401"/>
      <c r="E2631" s="394"/>
      <c r="F2631" s="402"/>
      <c r="G2631" s="396"/>
      <c r="H2631" s="395"/>
      <c r="I2631" s="397"/>
      <c r="J2631" s="398"/>
      <c r="K2631" s="403">
        <f t="shared" si="798"/>
        <v>0</v>
      </c>
      <c r="L2631" s="400" t="s">
        <v>755</v>
      </c>
      <c r="M2631" s="30"/>
      <c r="N2631" s="30"/>
      <c r="O2631" s="287">
        <f t="shared" si="801"/>
        <v>0</v>
      </c>
      <c r="P2631" s="287">
        <f t="shared" si="800"/>
        <v>0</v>
      </c>
      <c r="Q2631" s="288"/>
      <c r="R2631" s="243"/>
      <c r="S2631" s="378" t="str">
        <f t="shared" si="797"/>
        <v/>
      </c>
    </row>
    <row r="2632" spans="2:19" hidden="1" x14ac:dyDescent="0.2">
      <c r="B2632" s="609" t="s">
        <v>188</v>
      </c>
      <c r="C2632" s="746" t="s">
        <v>188</v>
      </c>
      <c r="D2632" s="401"/>
      <c r="E2632" s="394"/>
      <c r="F2632" s="402"/>
      <c r="G2632" s="396"/>
      <c r="H2632" s="395"/>
      <c r="I2632" s="397"/>
      <c r="J2632" s="398"/>
      <c r="K2632" s="403">
        <f t="shared" si="798"/>
        <v>0</v>
      </c>
      <c r="L2632" s="400" t="s">
        <v>755</v>
      </c>
      <c r="M2632" s="30"/>
      <c r="N2632" s="30"/>
      <c r="O2632" s="287">
        <f t="shared" si="801"/>
        <v>0</v>
      </c>
      <c r="P2632" s="287">
        <f t="shared" si="800"/>
        <v>0</v>
      </c>
      <c r="Q2632" s="288"/>
      <c r="R2632" s="243"/>
      <c r="S2632" s="378" t="str">
        <f t="shared" si="797"/>
        <v/>
      </c>
    </row>
    <row r="2633" spans="2:19" hidden="1" x14ac:dyDescent="0.2">
      <c r="B2633" s="609" t="s">
        <v>188</v>
      </c>
      <c r="C2633" s="746" t="s">
        <v>188</v>
      </c>
      <c r="D2633" s="401"/>
      <c r="E2633" s="394"/>
      <c r="F2633" s="402"/>
      <c r="G2633" s="396"/>
      <c r="H2633" s="395"/>
      <c r="I2633" s="397"/>
      <c r="J2633" s="398"/>
      <c r="K2633" s="403">
        <f t="shared" si="798"/>
        <v>0</v>
      </c>
      <c r="L2633" s="400" t="s">
        <v>755</v>
      </c>
      <c r="M2633" s="30"/>
      <c r="N2633" s="30"/>
      <c r="O2633" s="287">
        <f t="shared" si="801"/>
        <v>0</v>
      </c>
      <c r="P2633" s="287">
        <f t="shared" si="800"/>
        <v>0</v>
      </c>
      <c r="Q2633" s="288"/>
      <c r="R2633" s="243"/>
      <c r="S2633" s="378" t="str">
        <f t="shared" si="797"/>
        <v/>
      </c>
    </row>
    <row r="2634" spans="2:19" hidden="1" x14ac:dyDescent="0.2">
      <c r="B2634" s="609" t="s">
        <v>188</v>
      </c>
      <c r="C2634" s="746" t="s">
        <v>188</v>
      </c>
      <c r="D2634" s="401"/>
      <c r="E2634" s="394"/>
      <c r="F2634" s="402"/>
      <c r="G2634" s="396"/>
      <c r="H2634" s="395"/>
      <c r="I2634" s="397"/>
      <c r="J2634" s="398"/>
      <c r="K2634" s="403">
        <f t="shared" si="798"/>
        <v>0</v>
      </c>
      <c r="L2634" s="400" t="s">
        <v>755</v>
      </c>
      <c r="M2634" s="30"/>
      <c r="N2634" s="30"/>
      <c r="O2634" s="287">
        <f t="shared" si="801"/>
        <v>0</v>
      </c>
      <c r="P2634" s="287">
        <f t="shared" si="800"/>
        <v>0</v>
      </c>
      <c r="Q2634" s="288"/>
      <c r="R2634" s="243"/>
      <c r="S2634" s="378" t="str">
        <f t="shared" si="797"/>
        <v/>
      </c>
    </row>
    <row r="2635" spans="2:19" hidden="1" x14ac:dyDescent="0.2">
      <c r="B2635" s="609" t="s">
        <v>188</v>
      </c>
      <c r="C2635" s="746" t="s">
        <v>188</v>
      </c>
      <c r="D2635" s="401"/>
      <c r="E2635" s="394"/>
      <c r="F2635" s="402"/>
      <c r="G2635" s="396"/>
      <c r="H2635" s="395"/>
      <c r="I2635" s="397"/>
      <c r="J2635" s="398"/>
      <c r="K2635" s="403">
        <f t="shared" si="798"/>
        <v>0</v>
      </c>
      <c r="L2635" s="400" t="s">
        <v>755</v>
      </c>
      <c r="M2635" s="30"/>
      <c r="N2635" s="30"/>
      <c r="O2635" s="287">
        <f t="shared" si="801"/>
        <v>0</v>
      </c>
      <c r="P2635" s="287">
        <f t="shared" si="800"/>
        <v>0</v>
      </c>
      <c r="Q2635" s="288"/>
      <c r="R2635" s="243"/>
      <c r="S2635" s="378" t="str">
        <f t="shared" si="797"/>
        <v/>
      </c>
    </row>
    <row r="2636" spans="2:19" hidden="1" x14ac:dyDescent="0.2">
      <c r="B2636" s="609" t="s">
        <v>188</v>
      </c>
      <c r="C2636" s="746" t="s">
        <v>188</v>
      </c>
      <c r="D2636" s="401"/>
      <c r="E2636" s="394"/>
      <c r="F2636" s="402"/>
      <c r="G2636" s="396"/>
      <c r="H2636" s="395"/>
      <c r="I2636" s="397"/>
      <c r="J2636" s="398"/>
      <c r="K2636" s="403">
        <f t="shared" si="798"/>
        <v>0</v>
      </c>
      <c r="L2636" s="400" t="s">
        <v>755</v>
      </c>
      <c r="M2636" s="30"/>
      <c r="N2636" s="30"/>
      <c r="O2636" s="287">
        <f t="shared" si="801"/>
        <v>0</v>
      </c>
      <c r="P2636" s="287">
        <f t="shared" si="800"/>
        <v>0</v>
      </c>
      <c r="Q2636" s="288"/>
      <c r="R2636" s="243"/>
      <c r="S2636" s="378" t="str">
        <f t="shared" si="797"/>
        <v/>
      </c>
    </row>
    <row r="2637" spans="2:19" hidden="1" x14ac:dyDescent="0.2">
      <c r="B2637" s="609" t="s">
        <v>188</v>
      </c>
      <c r="C2637" s="746" t="s">
        <v>188</v>
      </c>
      <c r="D2637" s="401"/>
      <c r="E2637" s="394"/>
      <c r="F2637" s="402"/>
      <c r="G2637" s="396"/>
      <c r="H2637" s="395"/>
      <c r="I2637" s="397"/>
      <c r="J2637" s="398"/>
      <c r="K2637" s="403">
        <f t="shared" si="798"/>
        <v>0</v>
      </c>
      <c r="L2637" s="400" t="s">
        <v>755</v>
      </c>
      <c r="M2637" s="30"/>
      <c r="N2637" s="30"/>
      <c r="O2637" s="287">
        <f t="shared" si="801"/>
        <v>0</v>
      </c>
      <c r="P2637" s="287">
        <f t="shared" si="800"/>
        <v>0</v>
      </c>
      <c r="Q2637" s="288"/>
      <c r="R2637" s="243"/>
      <c r="S2637" s="378" t="str">
        <f t="shared" si="797"/>
        <v/>
      </c>
    </row>
    <row r="2638" spans="2:19" hidden="1" x14ac:dyDescent="0.2">
      <c r="B2638" s="609" t="s">
        <v>188</v>
      </c>
      <c r="C2638" s="746" t="s">
        <v>188</v>
      </c>
      <c r="D2638" s="401"/>
      <c r="E2638" s="394"/>
      <c r="F2638" s="402"/>
      <c r="G2638" s="396"/>
      <c r="H2638" s="395"/>
      <c r="I2638" s="397"/>
      <c r="J2638" s="398"/>
      <c r="K2638" s="403">
        <f t="shared" si="798"/>
        <v>0</v>
      </c>
      <c r="L2638" s="400" t="s">
        <v>755</v>
      </c>
      <c r="M2638" s="30"/>
      <c r="N2638" s="30"/>
      <c r="O2638" s="287">
        <f t="shared" si="801"/>
        <v>0</v>
      </c>
      <c r="P2638" s="287">
        <f t="shared" si="800"/>
        <v>0</v>
      </c>
      <c r="Q2638" s="288"/>
      <c r="R2638" s="243"/>
      <c r="S2638" s="378" t="str">
        <f t="shared" si="797"/>
        <v/>
      </c>
    </row>
    <row r="2639" spans="2:19" hidden="1" x14ac:dyDescent="0.2">
      <c r="B2639" s="609" t="s">
        <v>188</v>
      </c>
      <c r="C2639" s="746" t="s">
        <v>188</v>
      </c>
      <c r="D2639" s="401"/>
      <c r="E2639" s="394"/>
      <c r="F2639" s="402"/>
      <c r="G2639" s="396"/>
      <c r="H2639" s="395"/>
      <c r="I2639" s="397"/>
      <c r="J2639" s="398"/>
      <c r="K2639" s="403">
        <f t="shared" si="798"/>
        <v>0</v>
      </c>
      <c r="L2639" s="400" t="s">
        <v>755</v>
      </c>
      <c r="M2639" s="30"/>
      <c r="N2639" s="30"/>
      <c r="O2639" s="287">
        <f t="shared" si="801"/>
        <v>0</v>
      </c>
      <c r="P2639" s="287">
        <f t="shared" si="800"/>
        <v>0</v>
      </c>
      <c r="Q2639" s="288"/>
      <c r="R2639" s="243"/>
      <c r="S2639" s="378" t="str">
        <f t="shared" si="797"/>
        <v/>
      </c>
    </row>
    <row r="2640" spans="2:19" hidden="1" x14ac:dyDescent="0.2">
      <c r="B2640" s="609" t="s">
        <v>188</v>
      </c>
      <c r="C2640" s="746" t="s">
        <v>188</v>
      </c>
      <c r="D2640" s="401"/>
      <c r="E2640" s="394"/>
      <c r="F2640" s="402"/>
      <c r="G2640" s="396"/>
      <c r="H2640" s="395"/>
      <c r="I2640" s="397"/>
      <c r="J2640" s="398"/>
      <c r="K2640" s="403">
        <f t="shared" si="798"/>
        <v>0</v>
      </c>
      <c r="L2640" s="400" t="s">
        <v>755</v>
      </c>
      <c r="M2640" s="30"/>
      <c r="N2640" s="30"/>
      <c r="O2640" s="287">
        <f t="shared" si="801"/>
        <v>0</v>
      </c>
      <c r="P2640" s="287">
        <f t="shared" si="800"/>
        <v>0</v>
      </c>
      <c r="Q2640" s="288"/>
      <c r="R2640" s="243"/>
      <c r="S2640" s="378" t="str">
        <f t="shared" si="797"/>
        <v/>
      </c>
    </row>
    <row r="2641" spans="2:19" hidden="1" x14ac:dyDescent="0.2">
      <c r="B2641" s="609" t="s">
        <v>188</v>
      </c>
      <c r="C2641" s="746" t="s">
        <v>188</v>
      </c>
      <c r="D2641" s="401"/>
      <c r="E2641" s="394"/>
      <c r="F2641" s="402"/>
      <c r="G2641" s="396"/>
      <c r="H2641" s="395"/>
      <c r="I2641" s="397"/>
      <c r="J2641" s="398"/>
      <c r="K2641" s="403">
        <f t="shared" ref="K2641" si="802">IF(ISBLANK(J2641),0,ROUND(J2641*(1+$F$10)*(1+$F$11*E2641),2))</f>
        <v>0</v>
      </c>
      <c r="L2641" s="400" t="s">
        <v>755</v>
      </c>
      <c r="M2641" s="30"/>
      <c r="N2641" s="30"/>
      <c r="O2641" s="287">
        <f t="shared" ref="O2641" si="803">IF(ISBLANK(M2641),0,ROUND(K2641*M2641,2))</f>
        <v>0</v>
      </c>
      <c r="P2641" s="287">
        <f t="shared" ref="P2641" si="804">IF(ISBLANK(N2641),0,ROUND(M2641*N2641,2))</f>
        <v>0</v>
      </c>
      <c r="Q2641" s="288"/>
      <c r="R2641" s="243"/>
      <c r="S2641" s="378" t="str">
        <f t="shared" ref="S2641" si="805">IF(R2641="x","x",IF(R2641="y","x",IF(R2641="xy","x",IF(P2641&gt;0,"x",""))))</f>
        <v/>
      </c>
    </row>
    <row r="2642" spans="2:19" hidden="1" x14ac:dyDescent="0.2">
      <c r="B2642" s="609" t="s">
        <v>188</v>
      </c>
      <c r="C2642" s="746" t="s">
        <v>188</v>
      </c>
      <c r="D2642" s="401"/>
      <c r="E2642" s="394"/>
      <c r="F2642" s="402"/>
      <c r="G2642" s="396"/>
      <c r="H2642" s="395"/>
      <c r="I2642" s="397"/>
      <c r="J2642" s="398"/>
      <c r="K2642" s="403">
        <f t="shared" si="798"/>
        <v>0</v>
      </c>
      <c r="L2642" s="400" t="s">
        <v>755</v>
      </c>
      <c r="M2642" s="30"/>
      <c r="N2642" s="30"/>
      <c r="O2642" s="287">
        <f t="shared" si="801"/>
        <v>0</v>
      </c>
      <c r="P2642" s="287">
        <f t="shared" si="800"/>
        <v>0</v>
      </c>
      <c r="Q2642" s="288"/>
      <c r="R2642" s="243"/>
      <c r="S2642" s="378" t="str">
        <f t="shared" si="797"/>
        <v/>
      </c>
    </row>
    <row r="2643" spans="2:19" hidden="1" x14ac:dyDescent="0.2">
      <c r="B2643" s="609" t="s">
        <v>188</v>
      </c>
      <c r="C2643" s="746" t="s">
        <v>188</v>
      </c>
      <c r="D2643" s="401"/>
      <c r="E2643" s="394"/>
      <c r="F2643" s="402"/>
      <c r="G2643" s="396"/>
      <c r="H2643" s="395"/>
      <c r="I2643" s="397"/>
      <c r="J2643" s="398"/>
      <c r="K2643" s="403">
        <f t="shared" si="798"/>
        <v>0</v>
      </c>
      <c r="L2643" s="400" t="s">
        <v>755</v>
      </c>
      <c r="M2643" s="30"/>
      <c r="N2643" s="30"/>
      <c r="O2643" s="287">
        <f t="shared" si="801"/>
        <v>0</v>
      </c>
      <c r="P2643" s="287">
        <f t="shared" si="800"/>
        <v>0</v>
      </c>
      <c r="Q2643" s="288"/>
      <c r="R2643" s="243"/>
      <c r="S2643" s="378" t="str">
        <f t="shared" si="797"/>
        <v/>
      </c>
    </row>
    <row r="2644" spans="2:19" hidden="1" x14ac:dyDescent="0.2">
      <c r="B2644" s="609" t="s">
        <v>188</v>
      </c>
      <c r="C2644" s="746" t="s">
        <v>188</v>
      </c>
      <c r="D2644" s="401"/>
      <c r="E2644" s="394"/>
      <c r="F2644" s="402"/>
      <c r="G2644" s="396"/>
      <c r="H2644" s="395"/>
      <c r="I2644" s="397"/>
      <c r="J2644" s="398"/>
      <c r="K2644" s="403">
        <f t="shared" si="798"/>
        <v>0</v>
      </c>
      <c r="L2644" s="400" t="s">
        <v>755</v>
      </c>
      <c r="M2644" s="30"/>
      <c r="N2644" s="30"/>
      <c r="O2644" s="287">
        <f t="shared" si="801"/>
        <v>0</v>
      </c>
      <c r="P2644" s="287">
        <f t="shared" si="800"/>
        <v>0</v>
      </c>
      <c r="Q2644" s="288"/>
      <c r="R2644" s="243"/>
      <c r="S2644" s="378" t="str">
        <f t="shared" si="797"/>
        <v/>
      </c>
    </row>
    <row r="2645" spans="2:19" hidden="1" x14ac:dyDescent="0.2">
      <c r="B2645" s="609" t="s">
        <v>188</v>
      </c>
      <c r="C2645" s="746" t="s">
        <v>188</v>
      </c>
      <c r="D2645" s="401"/>
      <c r="E2645" s="394"/>
      <c r="F2645" s="402"/>
      <c r="G2645" s="396"/>
      <c r="H2645" s="395"/>
      <c r="I2645" s="397"/>
      <c r="J2645" s="398"/>
      <c r="K2645" s="403">
        <f t="shared" si="798"/>
        <v>0</v>
      </c>
      <c r="L2645" s="400" t="s">
        <v>755</v>
      </c>
      <c r="M2645" s="30"/>
      <c r="N2645" s="30"/>
      <c r="O2645" s="287">
        <f t="shared" si="801"/>
        <v>0</v>
      </c>
      <c r="P2645" s="287">
        <f t="shared" si="800"/>
        <v>0</v>
      </c>
      <c r="Q2645" s="288"/>
      <c r="R2645" s="243"/>
      <c r="S2645" s="378" t="str">
        <f t="shared" si="797"/>
        <v/>
      </c>
    </row>
    <row r="2646" spans="2:19" hidden="1" x14ac:dyDescent="0.2">
      <c r="B2646" s="609" t="s">
        <v>188</v>
      </c>
      <c r="C2646" s="746" t="s">
        <v>188</v>
      </c>
      <c r="D2646" s="401"/>
      <c r="E2646" s="394"/>
      <c r="F2646" s="402"/>
      <c r="G2646" s="396"/>
      <c r="H2646" s="395"/>
      <c r="I2646" s="397"/>
      <c r="J2646" s="398"/>
      <c r="K2646" s="403">
        <f t="shared" si="798"/>
        <v>0</v>
      </c>
      <c r="L2646" s="400" t="s">
        <v>755</v>
      </c>
      <c r="M2646" s="30"/>
      <c r="N2646" s="30"/>
      <c r="O2646" s="287">
        <f t="shared" si="801"/>
        <v>0</v>
      </c>
      <c r="P2646" s="287">
        <f t="shared" si="800"/>
        <v>0</v>
      </c>
      <c r="Q2646" s="288"/>
      <c r="R2646" s="243"/>
      <c r="S2646" s="378" t="str">
        <f t="shared" si="797"/>
        <v/>
      </c>
    </row>
    <row r="2647" spans="2:19" hidden="1" x14ac:dyDescent="0.2">
      <c r="B2647" s="609" t="s">
        <v>188</v>
      </c>
      <c r="C2647" s="746" t="s">
        <v>188</v>
      </c>
      <c r="D2647" s="401"/>
      <c r="E2647" s="394"/>
      <c r="F2647" s="402"/>
      <c r="G2647" s="396"/>
      <c r="H2647" s="395"/>
      <c r="I2647" s="397"/>
      <c r="J2647" s="398"/>
      <c r="K2647" s="403">
        <f t="shared" si="798"/>
        <v>0</v>
      </c>
      <c r="L2647" s="400" t="s">
        <v>755</v>
      </c>
      <c r="M2647" s="30"/>
      <c r="N2647" s="30"/>
      <c r="O2647" s="287">
        <f t="shared" si="801"/>
        <v>0</v>
      </c>
      <c r="P2647" s="287">
        <f t="shared" si="800"/>
        <v>0</v>
      </c>
      <c r="Q2647" s="288"/>
      <c r="R2647" s="243"/>
      <c r="S2647" s="378" t="str">
        <f t="shared" si="797"/>
        <v/>
      </c>
    </row>
    <row r="2648" spans="2:19" hidden="1" x14ac:dyDescent="0.2">
      <c r="B2648" s="609" t="s">
        <v>188</v>
      </c>
      <c r="C2648" s="746" t="s">
        <v>188</v>
      </c>
      <c r="D2648" s="401"/>
      <c r="E2648" s="394"/>
      <c r="F2648" s="402"/>
      <c r="G2648" s="396"/>
      <c r="H2648" s="395"/>
      <c r="I2648" s="397"/>
      <c r="J2648" s="398"/>
      <c r="K2648" s="403">
        <f t="shared" si="798"/>
        <v>0</v>
      </c>
      <c r="L2648" s="400" t="s">
        <v>755</v>
      </c>
      <c r="M2648" s="30"/>
      <c r="N2648" s="30"/>
      <c r="O2648" s="287">
        <f t="shared" si="801"/>
        <v>0</v>
      </c>
      <c r="P2648" s="287">
        <f t="shared" si="800"/>
        <v>0</v>
      </c>
      <c r="Q2648" s="288"/>
      <c r="R2648" s="243"/>
      <c r="S2648" s="378" t="str">
        <f t="shared" si="797"/>
        <v/>
      </c>
    </row>
    <row r="2649" spans="2:19" hidden="1" x14ac:dyDescent="0.2">
      <c r="B2649" s="609" t="s">
        <v>188</v>
      </c>
      <c r="C2649" s="746" t="s">
        <v>188</v>
      </c>
      <c r="D2649" s="401"/>
      <c r="E2649" s="394"/>
      <c r="F2649" s="402"/>
      <c r="G2649" s="396"/>
      <c r="H2649" s="395"/>
      <c r="I2649" s="397"/>
      <c r="J2649" s="398"/>
      <c r="K2649" s="403">
        <f t="shared" si="798"/>
        <v>0</v>
      </c>
      <c r="L2649" s="400" t="s">
        <v>755</v>
      </c>
      <c r="M2649" s="30"/>
      <c r="N2649" s="30"/>
      <c r="O2649" s="287">
        <f t="shared" si="801"/>
        <v>0</v>
      </c>
      <c r="P2649" s="287">
        <f t="shared" si="800"/>
        <v>0</v>
      </c>
      <c r="Q2649" s="288"/>
      <c r="R2649" s="243"/>
      <c r="S2649" s="378" t="str">
        <f t="shared" si="797"/>
        <v/>
      </c>
    </row>
    <row r="2650" spans="2:19" hidden="1" x14ac:dyDescent="0.2">
      <c r="B2650" s="609" t="s">
        <v>188</v>
      </c>
      <c r="C2650" s="746" t="s">
        <v>188</v>
      </c>
      <c r="D2650" s="401"/>
      <c r="E2650" s="394"/>
      <c r="F2650" s="402"/>
      <c r="G2650" s="396"/>
      <c r="H2650" s="395"/>
      <c r="I2650" s="397"/>
      <c r="J2650" s="398"/>
      <c r="K2650" s="403">
        <f t="shared" si="798"/>
        <v>0</v>
      </c>
      <c r="L2650" s="400" t="s">
        <v>755</v>
      </c>
      <c r="M2650" s="30"/>
      <c r="N2650" s="30"/>
      <c r="O2650" s="287">
        <f t="shared" si="801"/>
        <v>0</v>
      </c>
      <c r="P2650" s="287">
        <f t="shared" si="800"/>
        <v>0</v>
      </c>
      <c r="Q2650" s="288"/>
      <c r="R2650" s="243"/>
      <c r="S2650" s="378" t="str">
        <f t="shared" si="797"/>
        <v/>
      </c>
    </row>
    <row r="2651" spans="2:19" hidden="1" x14ac:dyDescent="0.2">
      <c r="B2651" s="609" t="s">
        <v>188</v>
      </c>
      <c r="C2651" s="746" t="s">
        <v>188</v>
      </c>
      <c r="D2651" s="401"/>
      <c r="E2651" s="394"/>
      <c r="F2651" s="402"/>
      <c r="G2651" s="396"/>
      <c r="H2651" s="395"/>
      <c r="I2651" s="397"/>
      <c r="J2651" s="398"/>
      <c r="K2651" s="403">
        <f t="shared" si="798"/>
        <v>0</v>
      </c>
      <c r="L2651" s="400" t="s">
        <v>755</v>
      </c>
      <c r="M2651" s="30"/>
      <c r="N2651" s="30"/>
      <c r="O2651" s="287">
        <f t="shared" si="801"/>
        <v>0</v>
      </c>
      <c r="P2651" s="287">
        <f t="shared" si="800"/>
        <v>0</v>
      </c>
      <c r="Q2651" s="288"/>
      <c r="R2651" s="243"/>
      <c r="S2651" s="378" t="str">
        <f t="shared" si="797"/>
        <v/>
      </c>
    </row>
    <row r="2652" spans="2:19" hidden="1" x14ac:dyDescent="0.2">
      <c r="B2652" s="609" t="s">
        <v>188</v>
      </c>
      <c r="C2652" s="746" t="s">
        <v>188</v>
      </c>
      <c r="D2652" s="401"/>
      <c r="E2652" s="394"/>
      <c r="F2652" s="402"/>
      <c r="G2652" s="396"/>
      <c r="H2652" s="395"/>
      <c r="I2652" s="397"/>
      <c r="J2652" s="398"/>
      <c r="K2652" s="403">
        <f t="shared" si="798"/>
        <v>0</v>
      </c>
      <c r="L2652" s="400" t="s">
        <v>755</v>
      </c>
      <c r="M2652" s="30"/>
      <c r="N2652" s="30"/>
      <c r="O2652" s="287">
        <f t="shared" si="801"/>
        <v>0</v>
      </c>
      <c r="P2652" s="287">
        <f t="shared" si="800"/>
        <v>0</v>
      </c>
      <c r="Q2652" s="288"/>
      <c r="R2652" s="243"/>
      <c r="S2652" s="378" t="str">
        <f t="shared" si="797"/>
        <v/>
      </c>
    </row>
    <row r="2653" spans="2:19" hidden="1" x14ac:dyDescent="0.2">
      <c r="B2653" s="609" t="s">
        <v>188</v>
      </c>
      <c r="C2653" s="746" t="s">
        <v>188</v>
      </c>
      <c r="D2653" s="401"/>
      <c r="E2653" s="394"/>
      <c r="F2653" s="402"/>
      <c r="G2653" s="396"/>
      <c r="H2653" s="395"/>
      <c r="I2653" s="397"/>
      <c r="J2653" s="398"/>
      <c r="K2653" s="403">
        <f t="shared" si="798"/>
        <v>0</v>
      </c>
      <c r="L2653" s="400" t="s">
        <v>755</v>
      </c>
      <c r="M2653" s="30"/>
      <c r="N2653" s="30"/>
      <c r="O2653" s="287">
        <f t="shared" si="801"/>
        <v>0</v>
      </c>
      <c r="P2653" s="287">
        <f t="shared" si="800"/>
        <v>0</v>
      </c>
      <c r="Q2653" s="288"/>
      <c r="R2653" s="243"/>
      <c r="S2653" s="378" t="str">
        <f t="shared" si="797"/>
        <v/>
      </c>
    </row>
    <row r="2654" spans="2:19" hidden="1" x14ac:dyDescent="0.2">
      <c r="B2654" s="609" t="s">
        <v>188</v>
      </c>
      <c r="C2654" s="746" t="s">
        <v>188</v>
      </c>
      <c r="D2654" s="401"/>
      <c r="E2654" s="394"/>
      <c r="F2654" s="402"/>
      <c r="G2654" s="396"/>
      <c r="H2654" s="395"/>
      <c r="I2654" s="397"/>
      <c r="J2654" s="398"/>
      <c r="K2654" s="403">
        <f t="shared" si="798"/>
        <v>0</v>
      </c>
      <c r="L2654" s="400" t="s">
        <v>755</v>
      </c>
      <c r="M2654" s="30"/>
      <c r="N2654" s="30"/>
      <c r="O2654" s="287">
        <f t="shared" si="801"/>
        <v>0</v>
      </c>
      <c r="P2654" s="287">
        <f t="shared" si="800"/>
        <v>0</v>
      </c>
      <c r="Q2654" s="288"/>
      <c r="R2654" s="243"/>
      <c r="S2654" s="378" t="str">
        <f t="shared" si="797"/>
        <v/>
      </c>
    </row>
    <row r="2655" spans="2:19" ht="13.5" hidden="1" thickBot="1" x14ac:dyDescent="0.25">
      <c r="B2655" s="609" t="s">
        <v>188</v>
      </c>
      <c r="C2655" s="746" t="s">
        <v>188</v>
      </c>
      <c r="D2655" s="404"/>
      <c r="E2655" s="394"/>
      <c r="F2655" s="402"/>
      <c r="G2655" s="396"/>
      <c r="H2655" s="395"/>
      <c r="I2655" s="397"/>
      <c r="J2655" s="398"/>
      <c r="K2655" s="403">
        <f t="shared" si="798"/>
        <v>0</v>
      </c>
      <c r="L2655" s="400" t="s">
        <v>755</v>
      </c>
      <c r="M2655" s="30"/>
      <c r="N2655" s="30"/>
      <c r="O2655" s="287">
        <f t="shared" si="801"/>
        <v>0</v>
      </c>
      <c r="P2655" s="287">
        <f t="shared" si="800"/>
        <v>0</v>
      </c>
      <c r="Q2655" s="288"/>
      <c r="R2655" s="243"/>
      <c r="S2655" s="378" t="str">
        <f t="shared" si="797"/>
        <v/>
      </c>
    </row>
    <row r="2656" spans="2:19" ht="13.5" thickBot="1" x14ac:dyDescent="0.25">
      <c r="B2656" s="614" t="s">
        <v>174</v>
      </c>
      <c r="C2656" s="749"/>
      <c r="D2656" s="433" t="s">
        <v>519</v>
      </c>
      <c r="E2656" s="289"/>
      <c r="F2656" s="441"/>
      <c r="G2656" s="291"/>
      <c r="H2656" s="290"/>
      <c r="I2656" s="290"/>
      <c r="J2656" s="290" t="str">
        <f t="shared" ref="J2656:J2657" si="806">IF(ISBLANK(I2656),"",SUM(H2656:I2656))</f>
        <v/>
      </c>
      <c r="K2656" s="290"/>
      <c r="L2656" s="290"/>
      <c r="M2656" s="292"/>
      <c r="N2656" s="293"/>
      <c r="O2656" s="294">
        <f>SUBTOTAL(9,O18:O2655)</f>
        <v>272438.12</v>
      </c>
      <c r="P2656" s="295">
        <f>SUBTOTAL(9,O18:O2655)</f>
        <v>272438.12</v>
      </c>
      <c r="Q2656" s="295">
        <f>SUBTOTAL(9,Q18:Q2655)</f>
        <v>272438.12</v>
      </c>
      <c r="R2656" s="432" t="s">
        <v>174</v>
      </c>
      <c r="S2656" s="724" t="str">
        <f t="shared" si="797"/>
        <v>x</v>
      </c>
    </row>
    <row r="2657" spans="2:19" ht="13.5" thickBot="1" x14ac:dyDescent="0.25">
      <c r="B2657" s="614" t="s">
        <v>174</v>
      </c>
      <c r="C2657" s="749"/>
      <c r="D2657" s="433" t="s">
        <v>2106</v>
      </c>
      <c r="E2657" s="296"/>
      <c r="F2657" s="441"/>
      <c r="G2657" s="291"/>
      <c r="H2657" s="290"/>
      <c r="I2657" s="290"/>
      <c r="J2657" s="290" t="str">
        <f t="shared" si="806"/>
        <v/>
      </c>
      <c r="K2657" s="290"/>
      <c r="L2657" s="290"/>
      <c r="M2657" s="292"/>
      <c r="N2657" s="293"/>
      <c r="O2657" s="297">
        <f>SUM(O18:O530)</f>
        <v>172018.31999999998</v>
      </c>
      <c r="P2657" s="297">
        <f>SUM(O18:O530)</f>
        <v>172018.31999999998</v>
      </c>
      <c r="Q2657" s="297">
        <f>SUM(Q18:Q530)</f>
        <v>172018.31999999998</v>
      </c>
      <c r="R2657" s="432" t="s">
        <v>174</v>
      </c>
      <c r="S2657" s="724" t="str">
        <f t="shared" si="797"/>
        <v>x</v>
      </c>
    </row>
    <row r="2658" spans="2:19" ht="13.5" thickBot="1" x14ac:dyDescent="0.25">
      <c r="B2658" s="614" t="s">
        <v>174</v>
      </c>
      <c r="C2658" s="749"/>
      <c r="D2658" s="433" t="s">
        <v>2107</v>
      </c>
      <c r="E2658" s="296"/>
      <c r="F2658" s="441"/>
      <c r="G2658" s="291"/>
      <c r="H2658" s="290"/>
      <c r="I2658" s="290"/>
      <c r="J2658" s="290" t="str">
        <f t="shared" ref="J2658:J2662" si="807">IF(ISBLANK(I2658),"",SUM(H2658:I2658))</f>
        <v/>
      </c>
      <c r="K2658" s="290"/>
      <c r="L2658" s="290"/>
      <c r="M2658" s="292"/>
      <c r="N2658" s="293"/>
      <c r="O2658" s="294">
        <f>SUM(O531:O787)</f>
        <v>3053.88</v>
      </c>
      <c r="P2658" s="294">
        <f>SUM(P531:P787)</f>
        <v>3053.88</v>
      </c>
      <c r="Q2658" s="294">
        <f>SUM(Q531:Q787)</f>
        <v>3053.88</v>
      </c>
      <c r="R2658" s="432" t="s">
        <v>174</v>
      </c>
      <c r="S2658" s="724" t="str">
        <f t="shared" si="797"/>
        <v>x</v>
      </c>
    </row>
    <row r="2659" spans="2:19" ht="13.5" hidden="1" thickBot="1" x14ac:dyDescent="0.25">
      <c r="B2659" s="614" t="s">
        <v>174</v>
      </c>
      <c r="C2659" s="749"/>
      <c r="D2659" s="433" t="s">
        <v>729</v>
      </c>
      <c r="E2659" s="296"/>
      <c r="F2659" s="441"/>
      <c r="G2659" s="291"/>
      <c r="H2659" s="290"/>
      <c r="I2659" s="290"/>
      <c r="J2659" s="290" t="str">
        <f t="shared" si="807"/>
        <v/>
      </c>
      <c r="K2659" s="290"/>
      <c r="L2659" s="290"/>
      <c r="M2659" s="292"/>
      <c r="N2659" s="293"/>
      <c r="O2659" s="294">
        <f>SUM(O788:O1637)</f>
        <v>0</v>
      </c>
      <c r="P2659" s="294">
        <f>SUM(P788:P1637)</f>
        <v>0</v>
      </c>
      <c r="Q2659" s="294">
        <f>SUM(Q788:Q1637)</f>
        <v>0</v>
      </c>
      <c r="R2659" s="432" t="s">
        <v>174</v>
      </c>
      <c r="S2659" s="724" t="str">
        <f t="shared" si="797"/>
        <v>x</v>
      </c>
    </row>
    <row r="2660" spans="2:19" ht="13.5" hidden="1" thickBot="1" x14ac:dyDescent="0.25">
      <c r="B2660" s="614" t="s">
        <v>174</v>
      </c>
      <c r="C2660" s="749"/>
      <c r="D2660" s="433" t="s">
        <v>730</v>
      </c>
      <c r="E2660" s="296"/>
      <c r="F2660" s="441"/>
      <c r="G2660" s="291"/>
      <c r="H2660" s="290"/>
      <c r="I2660" s="290"/>
      <c r="J2660" s="290" t="str">
        <f t="shared" si="807"/>
        <v/>
      </c>
      <c r="K2660" s="290"/>
      <c r="L2660" s="290"/>
      <c r="M2660" s="292"/>
      <c r="N2660" s="293"/>
      <c r="O2660" s="294">
        <f>SUM(O1638:O1732)</f>
        <v>0</v>
      </c>
      <c r="P2660" s="294">
        <f>SUM(P1638:P1732)</f>
        <v>0</v>
      </c>
      <c r="Q2660" s="294">
        <f>SUM(Q1638:Q1732)</f>
        <v>0</v>
      </c>
      <c r="R2660" s="432" t="s">
        <v>174</v>
      </c>
      <c r="S2660" s="724" t="str">
        <f t="shared" si="797"/>
        <v>x</v>
      </c>
    </row>
    <row r="2661" spans="2:19" ht="13.5" thickBot="1" x14ac:dyDescent="0.25">
      <c r="B2661" s="614" t="s">
        <v>174</v>
      </c>
      <c r="C2661" s="749"/>
      <c r="D2661" s="433" t="s">
        <v>2108</v>
      </c>
      <c r="E2661" s="296"/>
      <c r="F2661" s="441"/>
      <c r="G2661" s="291"/>
      <c r="H2661" s="290"/>
      <c r="I2661" s="290"/>
      <c r="J2661" s="290" t="str">
        <f t="shared" si="807"/>
        <v/>
      </c>
      <c r="K2661" s="290"/>
      <c r="L2661" s="290"/>
      <c r="M2661" s="292"/>
      <c r="N2661" s="293"/>
      <c r="O2661" s="294">
        <f>SUM(O1733:O2609)</f>
        <v>97365.92</v>
      </c>
      <c r="P2661" s="294">
        <f>SUM(O1733:O2609)</f>
        <v>97365.92</v>
      </c>
      <c r="Q2661" s="294">
        <f>SUM(Q1733:Q2609)</f>
        <v>97365.92</v>
      </c>
      <c r="R2661" s="432" t="s">
        <v>174</v>
      </c>
      <c r="S2661" s="724" t="str">
        <f t="shared" si="797"/>
        <v>x</v>
      </c>
    </row>
    <row r="2662" spans="2:19" ht="13.5" hidden="1" thickBot="1" x14ac:dyDescent="0.25">
      <c r="B2662" s="614" t="s">
        <v>174</v>
      </c>
      <c r="C2662" s="749"/>
      <c r="D2662" s="433" t="s">
        <v>754</v>
      </c>
      <c r="E2662" s="296"/>
      <c r="F2662" s="441"/>
      <c r="G2662" s="291"/>
      <c r="H2662" s="290"/>
      <c r="I2662" s="290"/>
      <c r="J2662" s="290" t="str">
        <f t="shared" si="807"/>
        <v/>
      </c>
      <c r="K2662" s="290"/>
      <c r="L2662" s="290"/>
      <c r="M2662" s="292"/>
      <c r="N2662" s="293"/>
      <c r="O2662" s="294">
        <f>SUM(O2610:O2655)</f>
        <v>0</v>
      </c>
      <c r="P2662" s="294">
        <f>SUM(P2610:P2655)</f>
        <v>0</v>
      </c>
      <c r="Q2662" s="294">
        <f>SUM(Q2610:Q2655)</f>
        <v>0</v>
      </c>
      <c r="R2662" s="432" t="s">
        <v>174</v>
      </c>
      <c r="S2662" s="724" t="str">
        <f t="shared" si="797"/>
        <v>x</v>
      </c>
    </row>
    <row r="2663" spans="2:19" ht="13.5" thickBot="1" x14ac:dyDescent="0.25">
      <c r="B2663" s="614" t="s">
        <v>174</v>
      </c>
      <c r="C2663" s="749"/>
      <c r="D2663" s="685"/>
      <c r="E2663" s="686"/>
      <c r="F2663" s="290"/>
      <c r="G2663" s="685"/>
      <c r="H2663" s="687"/>
      <c r="I2663" s="685"/>
      <c r="J2663" s="685"/>
      <c r="K2663" s="685"/>
      <c r="L2663" s="688"/>
      <c r="M2663" s="833" t="s">
        <v>451</v>
      </c>
      <c r="N2663" s="834"/>
      <c r="O2663" s="434">
        <v>1153.28</v>
      </c>
      <c r="P2663" s="298" t="s">
        <v>18</v>
      </c>
      <c r="Q2663" s="299">
        <f>IF(O2663=0,0,Q2656/O2663)</f>
        <v>236.22894700332964</v>
      </c>
      <c r="R2663" s="432" t="s">
        <v>174</v>
      </c>
      <c r="S2663" s="724" t="str">
        <f t="shared" si="797"/>
        <v>x</v>
      </c>
    </row>
    <row r="2664" spans="2:19" x14ac:dyDescent="0.2">
      <c r="B2664" s="615" t="s">
        <v>174</v>
      </c>
      <c r="L2664" s="435"/>
      <c r="M2664" s="435"/>
      <c r="N2664" s="435"/>
      <c r="O2664" s="435"/>
      <c r="P2664" s="435"/>
      <c r="Q2664" s="435"/>
      <c r="R2664" s="432" t="s">
        <v>174</v>
      </c>
      <c r="S2664" s="724" t="str">
        <f t="shared" si="797"/>
        <v>x</v>
      </c>
    </row>
    <row r="2665" spans="2:19" ht="13.5" thickBot="1" x14ac:dyDescent="0.25">
      <c r="B2665" s="615" t="s">
        <v>174</v>
      </c>
      <c r="D2665" s="514"/>
      <c r="L2665" s="435"/>
      <c r="M2665" s="435"/>
      <c r="N2665" s="435"/>
      <c r="O2665" s="435"/>
      <c r="P2665" s="435"/>
      <c r="Q2665" s="435"/>
      <c r="R2665" s="432" t="s">
        <v>174</v>
      </c>
      <c r="S2665" s="724" t="str">
        <f t="shared" si="797"/>
        <v>x</v>
      </c>
    </row>
    <row r="2666" spans="2:19" ht="13.5" thickBot="1" x14ac:dyDescent="0.25">
      <c r="B2666" s="615" t="s">
        <v>174</v>
      </c>
      <c r="D2666" s="514"/>
      <c r="J2666" s="705" t="e">
        <f>SUM(J19:J2665)</f>
        <v>#VALUE!</v>
      </c>
      <c r="K2666" s="705" t="e">
        <f>SUM(K19:K2665)</f>
        <v>#VALUE!</v>
      </c>
      <c r="L2666" s="435"/>
      <c r="M2666" s="835" t="s">
        <v>452</v>
      </c>
      <c r="N2666" s="836"/>
      <c r="O2666" s="295">
        <f>SUM(O18:O2655)</f>
        <v>272438.12</v>
      </c>
      <c r="P2666" s="295">
        <f>SUM(O18:O2655)</f>
        <v>272438.12</v>
      </c>
      <c r="Q2666" s="295">
        <f>SUM(Q18:Q2655)</f>
        <v>272438.12</v>
      </c>
      <c r="R2666" s="432" t="s">
        <v>174</v>
      </c>
      <c r="S2666" s="724" t="str">
        <f t="shared" si="797"/>
        <v>x</v>
      </c>
    </row>
    <row r="2667" spans="2:19" x14ac:dyDescent="0.2">
      <c r="B2667" s="616"/>
      <c r="D2667" s="514"/>
      <c r="J2667" s="706"/>
      <c r="K2667" s="707"/>
      <c r="R2667" s="432" t="s">
        <v>174</v>
      </c>
      <c r="S2667" s="724" t="str">
        <f t="shared" si="797"/>
        <v>x</v>
      </c>
    </row>
    <row r="2668" spans="2:19" x14ac:dyDescent="0.2">
      <c r="B2668" s="616"/>
      <c r="J2668" s="767">
        <v>1210880.112708949</v>
      </c>
      <c r="K2668" s="767">
        <v>1469402.9900000005</v>
      </c>
      <c r="R2668" s="432" t="s">
        <v>174</v>
      </c>
      <c r="S2668" s="724" t="str">
        <f t="shared" si="797"/>
        <v>x</v>
      </c>
    </row>
    <row r="2669" spans="2:19" x14ac:dyDescent="0.2">
      <c r="B2669" s="616"/>
      <c r="I2669" s="436"/>
      <c r="R2669" s="432" t="s">
        <v>174</v>
      </c>
      <c r="S2669" s="724" t="str">
        <f t="shared" si="797"/>
        <v>x</v>
      </c>
    </row>
    <row r="2670" spans="2:19" x14ac:dyDescent="0.2">
      <c r="B2670" s="616"/>
      <c r="R2670" s="432" t="s">
        <v>174</v>
      </c>
      <c r="S2670" s="724" t="str">
        <f t="shared" si="797"/>
        <v>x</v>
      </c>
    </row>
    <row r="2671" spans="2:19" x14ac:dyDescent="0.2">
      <c r="B2671" s="616"/>
      <c r="R2671" s="432" t="s">
        <v>174</v>
      </c>
      <c r="S2671" s="724" t="str">
        <f t="shared" si="797"/>
        <v>x</v>
      </c>
    </row>
    <row r="2672" spans="2:19" x14ac:dyDescent="0.2">
      <c r="B2672" s="616" t="s">
        <v>1733</v>
      </c>
    </row>
    <row r="2673" spans="2:2" x14ac:dyDescent="0.2">
      <c r="B2673" s="616" t="s">
        <v>1773</v>
      </c>
    </row>
    <row r="2674" spans="2:2" x14ac:dyDescent="0.2">
      <c r="B2674" s="616"/>
    </row>
    <row r="2675" spans="2:2" x14ac:dyDescent="0.2">
      <c r="B2675" s="616"/>
    </row>
    <row r="2676" spans="2:2" x14ac:dyDescent="0.2">
      <c r="B2676" s="616"/>
    </row>
  </sheetData>
  <autoFilter ref="A17:U2673" xr:uid="{AEA9154C-7782-4779-851D-1407514B0ABD}"/>
  <mergeCells count="4">
    <mergeCell ref="E16:E17"/>
    <mergeCell ref="M2663:N2663"/>
    <mergeCell ref="M2666:N2666"/>
    <mergeCell ref="F1:G2"/>
  </mergeCells>
  <printOptions horizontalCentered="1"/>
  <pageMargins left="0.39370078740157483" right="0.39370078740157483" top="0.78740157480314965" bottom="0.78740157480314965" header="0.31496062992125984" footer="0.51181102362204722"/>
  <pageSetup paperSize="9" scale="52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9</vt:i4>
      </vt:variant>
    </vt:vector>
  </HeadingPairs>
  <TitlesOfParts>
    <vt:vector size="18" baseType="lpstr">
      <vt:lpstr>Prazos e Áreas</vt:lpstr>
      <vt:lpstr>base</vt:lpstr>
      <vt:lpstr>base (2)</vt:lpstr>
      <vt:lpstr>Cronograma PAM</vt:lpstr>
      <vt:lpstr>Cronograma SFM</vt:lpstr>
      <vt:lpstr>BDI Pavimentação</vt:lpstr>
      <vt:lpstr>Grandes Itens</vt:lpstr>
      <vt:lpstr>ENSAIOS DE ORÇAMENTO</vt:lpstr>
      <vt:lpstr>orc SINAPI FEV 2022</vt:lpstr>
      <vt:lpstr>base!Area_de_impressao</vt:lpstr>
      <vt:lpstr>'base (2)'!Area_de_impressao</vt:lpstr>
      <vt:lpstr>'BDI Pavimentação'!Area_de_impressao</vt:lpstr>
      <vt:lpstr>'Cronograma PAM'!Area_de_impressao</vt:lpstr>
      <vt:lpstr>'Cronograma SFM'!Area_de_impressao</vt:lpstr>
      <vt:lpstr>'Grandes Itens'!Area_de_impressao</vt:lpstr>
      <vt:lpstr>'orc SINAPI FEV 2022'!Area_de_impressao</vt:lpstr>
      <vt:lpstr>'Grandes Itens'!Titulos_de_impressao</vt:lpstr>
      <vt:lpstr>'orc SINAPI FEV 2022'!Titulos_de_impressao</vt:lpstr>
    </vt:vector>
  </TitlesOfParts>
  <Company>PARANACIDADE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Ruy  José da Costa</dc:creator>
  <cp:lastModifiedBy>SOLIDIPLAN-03</cp:lastModifiedBy>
  <cp:lastPrinted>2022-07-21T13:59:01Z</cp:lastPrinted>
  <dcterms:created xsi:type="dcterms:W3CDTF">2008-09-16T14:08:54Z</dcterms:created>
  <dcterms:modified xsi:type="dcterms:W3CDTF">2022-07-21T13:59:15Z</dcterms:modified>
</cp:coreProperties>
</file>